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№ 5 (26.08.)" sheetId="1" r:id="rId1"/>
  </sheets>
  <definedNames>
    <definedName name="_xlnm.Print_Titles" localSheetId="0">'№ 5 (26.08.)'!$12:$13</definedName>
  </definedNames>
  <calcPr fullCalcOnLoad="1"/>
</workbook>
</file>

<file path=xl/sharedStrings.xml><?xml version="1.0" encoding="utf-8"?>
<sst xmlns="http://schemas.openxmlformats.org/spreadsheetml/2006/main" count="230" uniqueCount="128">
  <si>
    <t>Пермской городской Думы</t>
  </si>
  <si>
    <t>Раздел</t>
  </si>
  <si>
    <t>Подраз-дел</t>
  </si>
  <si>
    <t xml:space="preserve">Наименование </t>
  </si>
  <si>
    <t>изменения</t>
  </si>
  <si>
    <t>Формулы</t>
  </si>
  <si>
    <t>01</t>
  </si>
  <si>
    <t>00</t>
  </si>
  <si>
    <t>Общегосударственные вопросы</t>
  </si>
  <si>
    <t>02</t>
  </si>
  <si>
    <t>Функционирование высшего должностного лица субъекта Российской Федерации  и муниципального образования</t>
  </si>
  <si>
    <t>03</t>
  </si>
  <si>
    <t>Функционирование законодательных (представительных) органов государственной  власти и представительных органов муниципальных образований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</si>
  <si>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</si>
  <si>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</si>
  <si>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06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</si>
  <si>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</si>
  <si>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07</t>
  </si>
  <si>
    <t>Обеспечение проведения выборов и референдумов</t>
  </si>
  <si>
    <t>11</t>
  </si>
  <si>
    <t>12</t>
  </si>
  <si>
    <t>Резервные фонды</t>
  </si>
  <si>
    <t>14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</si>
  <si>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</si>
  <si>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</si>
  <si>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</si>
  <si>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</si>
  <si>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</si>
  <si>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</si>
  <si>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</si>
  <si>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Лесное хозяйство</t>
  </si>
  <si>
    <t>08</t>
  </si>
  <si>
    <t>Транспорт</t>
  </si>
  <si>
    <t>Другие вопросы в области национальной экономики</t>
  </si>
  <si>
    <t>05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</si>
  <si>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</si>
  <si>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</si>
  <si>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</si>
  <si>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</si>
  <si>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жилищно-коммунального хозяйства 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</si>
  <si>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</si>
  <si>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</si>
  <si>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</si>
  <si>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</si>
  <si>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</si>
  <si>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 xml:space="preserve">Общее образование </t>
  </si>
  <si>
    <t>Молодежная политика и оздоровление детей</t>
  </si>
  <si>
    <t>Другие вопросы в области образования</t>
  </si>
  <si>
    <t>Культура, кинематография, средства массовой информации</t>
  </si>
  <si>
    <t>Культура</t>
  </si>
  <si>
    <t>Здравоохранение, физическая культура и спорт</t>
  </si>
  <si>
    <t>Стационарная медицинская помощь</t>
  </si>
  <si>
    <t>Амбулаторная помощь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</si>
  <si>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</si>
  <si>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</si>
  <si>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</si>
  <si>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Физическая культура и спорт</t>
  </si>
  <si>
    <t>10</t>
  </si>
  <si>
    <t>Другие вопросы в области здравоохранения, физической культуры и спорта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</si>
  <si>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</si>
  <si>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</si>
  <si>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</si>
  <si>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</si>
  <si>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</si>
  <si>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Межбюджетные трансферты</t>
  </si>
  <si>
    <t>Субсидии бюджетам субъектов Российской Федерации и муниципальных образований (межбюджетные субсидии)</t>
  </si>
  <si>
    <t>99</t>
  </si>
  <si>
    <t>Условно утвержденные расходы</t>
  </si>
  <si>
    <t>ВСЕГО</t>
  </si>
  <si>
    <t>Другие вопросы в области культуры, кинематографии, средств массовой информации</t>
  </si>
  <si>
    <t>2010 год (РД № 202)</t>
  </si>
  <si>
    <t>2011 год (РД № 202)</t>
  </si>
  <si>
    <t>Сбор, удаление отходов и очистка сточных вод</t>
  </si>
  <si>
    <t>Иные межбюджетные трансферты</t>
  </si>
  <si>
    <t>2010 год</t>
  </si>
  <si>
    <t>с учетом изменений</t>
  </si>
  <si>
    <t>тыс. руб.</t>
  </si>
  <si>
    <t>2011 год</t>
  </si>
  <si>
    <t>2012 год</t>
  </si>
  <si>
    <t>2010 год (I чтение)</t>
  </si>
  <si>
    <t>2011 год (II чтение)</t>
  </si>
  <si>
    <t>2012 год (I чтение)</t>
  </si>
  <si>
    <t>2011 год (I чтение)</t>
  </si>
  <si>
    <t>Поправки ко II чтению</t>
  </si>
  <si>
    <t>2010 год (II чтение)</t>
  </si>
  <si>
    <t>2012 год (II чтение)</t>
  </si>
  <si>
    <t>2010 (уточнения)</t>
  </si>
  <si>
    <t>2011 (уточнения)</t>
  </si>
  <si>
    <t>2012 (уточнения)</t>
  </si>
  <si>
    <t>2010 (январь)</t>
  </si>
  <si>
    <t>2011 (январь)</t>
  </si>
  <si>
    <t>2012 (январь)</t>
  </si>
  <si>
    <t>2010 год (изменения)</t>
  </si>
  <si>
    <t>2011 год (изменения)</t>
  </si>
  <si>
    <t>2012 год (изменения)</t>
  </si>
  <si>
    <t>тыс.руб.</t>
  </si>
  <si>
    <t>от 22.12.2009 № 315</t>
  </si>
  <si>
    <t>Поправки комитета</t>
  </si>
  <si>
    <t>2010 (с учетом комитета)</t>
  </si>
  <si>
    <t>2010 (проект)</t>
  </si>
  <si>
    <t>2011 (проект)</t>
  </si>
  <si>
    <t>2012 (проект)</t>
  </si>
  <si>
    <t>2011 (с учетом комитета)</t>
  </si>
  <si>
    <t>2012 (с учетом комитета)</t>
  </si>
  <si>
    <t>2010 (решение комитета)</t>
  </si>
  <si>
    <t>2011 (решение комитета)</t>
  </si>
  <si>
    <t>2012 (решение комитета)</t>
  </si>
  <si>
    <t>2010 (март)</t>
  </si>
  <si>
    <t>2011 (март)</t>
  </si>
  <si>
    <t>2012 (март)</t>
  </si>
  <si>
    <t>Комитет</t>
  </si>
  <si>
    <t>2010 (изменения)</t>
  </si>
  <si>
    <t>2010 (апрель)</t>
  </si>
  <si>
    <t>2011 (апрель)</t>
  </si>
  <si>
    <t>2012 (апрель)</t>
  </si>
  <si>
    <t>2011 (изменения)</t>
  </si>
  <si>
    <t>Решение комитета</t>
  </si>
  <si>
    <t>2010 (РД № 86 от 29.06.2010)</t>
  </si>
  <si>
    <t>2011(РД № 86 от 29.06.2010)</t>
  </si>
  <si>
    <t>2012 (РД № 86 от 29.06.2010)</t>
  </si>
  <si>
    <t>2012 (изменения)</t>
  </si>
  <si>
    <t>Нераспределенный резерв</t>
  </si>
  <si>
    <t>Приложение № 5 к решению</t>
  </si>
  <si>
    <t>Приложение № 9 к решению</t>
  </si>
  <si>
    <t>Функциональная структура расходов бюджета города Перми на 2010 год</t>
  </si>
  <si>
    <t>2010 год  (первонач. проект на август)</t>
  </si>
  <si>
    <t>Изменения по решению комитета</t>
  </si>
  <si>
    <t>от 24.08.2010 № 113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</si>
</sst>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wrapText="1"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164" fontId="1" fillId="0" borderId="1" xfId="0" applyNumberFormat="1" applyFont="1" applyFill="1" applyBorder="1" applyAlignment="1">
      <alignment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164" fontId="2" fillId="0" borderId="1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49" fontId="2" fillId="0" borderId="0" xfId="0" applyNumberFormat="1" applyFont="1" applyFill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65"/>
  <sheetViews>
    <sheetView tabSelected="1" zoomScale="75" zoomScaleNormal="75" workbookViewId="0" topLeftCell="A1">
      <selection activeCell="C7" sqref="C7"/>
    </sheetView>
  </sheetViews>
  <sheetFormatPr defaultColWidth="9.00390625" defaultRowHeight="12.75"/>
  <cols>
    <col min="1" max="1" width="8.125" style="1" customWidth="1"/>
    <col min="2" max="2" width="8.75390625" style="2" customWidth="1"/>
    <col min="3" max="3" width="69.875" style="3" customWidth="1"/>
    <col min="4" max="4" width="17.375" style="1" hidden="1" customWidth="1"/>
    <col min="5" max="5" width="17.00390625" style="1" hidden="1" customWidth="1"/>
    <col min="6" max="9" width="15.75390625" style="1" hidden="1" customWidth="1"/>
    <col min="10" max="18" width="16.625" style="1" hidden="1" customWidth="1"/>
    <col min="19" max="20" width="16.625" style="16" hidden="1" customWidth="1"/>
    <col min="21" max="21" width="16.75390625" style="16" hidden="1" customWidth="1"/>
    <col min="22" max="24" width="16.625" style="16" hidden="1" customWidth="1"/>
    <col min="25" max="25" width="17.00390625" style="1" hidden="1" customWidth="1"/>
    <col min="26" max="26" width="17.125" style="1" hidden="1" customWidth="1"/>
    <col min="27" max="27" width="17.00390625" style="1" hidden="1" customWidth="1"/>
    <col min="28" max="30" width="16.75390625" style="16" hidden="1" customWidth="1"/>
    <col min="31" max="31" width="16.625" style="1" hidden="1" customWidth="1"/>
    <col min="32" max="34" width="16.625" style="16" hidden="1" customWidth="1"/>
    <col min="35" max="37" width="12.25390625" style="1" hidden="1" customWidth="1"/>
    <col min="38" max="40" width="16.625" style="16" hidden="1" customWidth="1"/>
    <col min="41" max="43" width="12.25390625" style="1" hidden="1" customWidth="1"/>
    <col min="44" max="44" width="15.125" style="1" hidden="1" customWidth="1"/>
    <col min="45" max="46" width="15.75390625" style="1" hidden="1" customWidth="1"/>
    <col min="47" max="47" width="16.625" style="1" hidden="1" customWidth="1"/>
    <col min="48" max="50" width="15.875" style="1" hidden="1" customWidth="1"/>
    <col min="51" max="52" width="15.25390625" style="1" hidden="1" customWidth="1"/>
    <col min="53" max="53" width="15.375" style="1" hidden="1" customWidth="1"/>
    <col min="54" max="55" width="15.625" style="1" hidden="1" customWidth="1"/>
    <col min="56" max="59" width="16.00390625" style="1" hidden="1" customWidth="1"/>
    <col min="60" max="60" width="16.125" style="1" hidden="1" customWidth="1"/>
    <col min="61" max="63" width="16.00390625" style="1" hidden="1" customWidth="1"/>
    <col min="64" max="64" width="12.25390625" style="1" hidden="1" customWidth="1"/>
    <col min="65" max="65" width="16.00390625" style="1" hidden="1" customWidth="1"/>
    <col min="66" max="66" width="14.00390625" style="1" hidden="1" customWidth="1"/>
    <col min="67" max="68" width="12.25390625" style="1" hidden="1" customWidth="1"/>
    <col min="69" max="72" width="16.00390625" style="1" hidden="1" customWidth="1"/>
    <col min="73" max="73" width="17.25390625" style="1" customWidth="1"/>
    <col min="74" max="74" width="12.25390625" style="1" hidden="1" customWidth="1"/>
    <col min="75" max="16384" width="9.125" style="1" customWidth="1"/>
  </cols>
  <sheetData>
    <row r="1" spans="4:73" ht="15.75"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U1" s="10" t="s">
        <v>122</v>
      </c>
    </row>
    <row r="2" spans="4:73" ht="15.75"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U2" s="10" t="s">
        <v>0</v>
      </c>
    </row>
    <row r="3" spans="4:73" ht="15.75"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U3" s="10" t="s">
        <v>127</v>
      </c>
    </row>
    <row r="4" spans="4:73" ht="15.75"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Y4" s="27"/>
      <c r="Z4" s="27"/>
      <c r="AA4" s="27"/>
      <c r="AE4" s="27"/>
      <c r="AI4" s="27"/>
      <c r="AJ4" s="27"/>
      <c r="AK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U4" s="3"/>
    </row>
    <row r="5" spans="4:73" ht="15.75"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U5" s="10" t="s">
        <v>123</v>
      </c>
    </row>
    <row r="6" spans="4:73" ht="15.75"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U6" s="10" t="s">
        <v>0</v>
      </c>
    </row>
    <row r="7" spans="4:73" ht="15.75"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U7" s="10" t="s">
        <v>96</v>
      </c>
    </row>
    <row r="9" spans="1:74" ht="15.75" customHeight="1">
      <c r="A9" s="47" t="s">
        <v>124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20"/>
    </row>
    <row r="10" spans="1:74" ht="15.7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</row>
    <row r="11" spans="4:73" ht="15.75">
      <c r="D11" s="10"/>
      <c r="F11" s="10" t="s">
        <v>76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AD11" s="10" t="s">
        <v>95</v>
      </c>
      <c r="AF11" s="10"/>
      <c r="AG11" s="10"/>
      <c r="AH11" s="10"/>
      <c r="AL11" s="10"/>
      <c r="AM11" s="10"/>
      <c r="AN11" s="10"/>
      <c r="BQ11" s="10"/>
      <c r="BU11" s="10" t="s">
        <v>76</v>
      </c>
    </row>
    <row r="12" spans="1:74" ht="15.75" customHeight="1">
      <c r="A12" s="31" t="s">
        <v>1</v>
      </c>
      <c r="B12" s="31" t="s">
        <v>2</v>
      </c>
      <c r="C12" s="30" t="s">
        <v>3</v>
      </c>
      <c r="D12" s="30" t="s">
        <v>70</v>
      </c>
      <c r="E12" s="28" t="s">
        <v>79</v>
      </c>
      <c r="F12" s="29"/>
      <c r="G12" s="30" t="s">
        <v>71</v>
      </c>
      <c r="H12" s="28" t="s">
        <v>82</v>
      </c>
      <c r="I12" s="29"/>
      <c r="J12" s="32" t="s">
        <v>81</v>
      </c>
      <c r="K12" s="34" t="s">
        <v>83</v>
      </c>
      <c r="L12" s="35"/>
      <c r="M12" s="36"/>
      <c r="N12" s="37" t="s">
        <v>84</v>
      </c>
      <c r="O12" s="38"/>
      <c r="P12" s="37" t="s">
        <v>80</v>
      </c>
      <c r="Q12" s="38"/>
      <c r="R12" s="32" t="s">
        <v>85</v>
      </c>
      <c r="S12" s="32" t="s">
        <v>86</v>
      </c>
      <c r="T12" s="32" t="s">
        <v>87</v>
      </c>
      <c r="U12" s="32" t="s">
        <v>88</v>
      </c>
      <c r="V12" s="32" t="s">
        <v>89</v>
      </c>
      <c r="W12" s="32" t="s">
        <v>90</v>
      </c>
      <c r="X12" s="32" t="s">
        <v>91</v>
      </c>
      <c r="Y12" s="41" t="s">
        <v>92</v>
      </c>
      <c r="Z12" s="41" t="s">
        <v>93</v>
      </c>
      <c r="AA12" s="41" t="s">
        <v>94</v>
      </c>
      <c r="AB12" s="42">
        <v>2010</v>
      </c>
      <c r="AC12" s="42">
        <v>2011</v>
      </c>
      <c r="AD12" s="42">
        <v>2012</v>
      </c>
      <c r="AE12" s="41" t="s">
        <v>97</v>
      </c>
      <c r="AF12" s="42" t="s">
        <v>98</v>
      </c>
      <c r="AG12" s="42" t="s">
        <v>102</v>
      </c>
      <c r="AH12" s="42" t="s">
        <v>103</v>
      </c>
      <c r="AI12" s="41" t="s">
        <v>92</v>
      </c>
      <c r="AJ12" s="41" t="s">
        <v>93</v>
      </c>
      <c r="AK12" s="41" t="s">
        <v>94</v>
      </c>
      <c r="AL12" s="42" t="s">
        <v>99</v>
      </c>
      <c r="AM12" s="42" t="s">
        <v>100</v>
      </c>
      <c r="AN12" s="42" t="s">
        <v>101</v>
      </c>
      <c r="AO12" s="42" t="s">
        <v>104</v>
      </c>
      <c r="AP12" s="42" t="s">
        <v>105</v>
      </c>
      <c r="AQ12" s="42" t="s">
        <v>106</v>
      </c>
      <c r="AR12" s="42" t="s">
        <v>107</v>
      </c>
      <c r="AS12" s="42" t="s">
        <v>108</v>
      </c>
      <c r="AT12" s="42" t="s">
        <v>109</v>
      </c>
      <c r="AU12" s="41" t="s">
        <v>92</v>
      </c>
      <c r="AV12" s="41" t="s">
        <v>93</v>
      </c>
      <c r="AW12" s="41" t="s">
        <v>94</v>
      </c>
      <c r="AX12" s="42" t="s">
        <v>99</v>
      </c>
      <c r="AY12" s="42" t="s">
        <v>100</v>
      </c>
      <c r="AZ12" s="42" t="s">
        <v>101</v>
      </c>
      <c r="BA12" s="44" t="s">
        <v>110</v>
      </c>
      <c r="BB12" s="44"/>
      <c r="BC12" s="44"/>
      <c r="BD12" s="42" t="s">
        <v>112</v>
      </c>
      <c r="BE12" s="42" t="s">
        <v>113</v>
      </c>
      <c r="BF12" s="42" t="s">
        <v>114</v>
      </c>
      <c r="BG12" s="42" t="s">
        <v>111</v>
      </c>
      <c r="BH12" s="42" t="s">
        <v>115</v>
      </c>
      <c r="BI12" s="42" t="s">
        <v>99</v>
      </c>
      <c r="BJ12" s="42" t="s">
        <v>118</v>
      </c>
      <c r="BK12" s="42" t="s">
        <v>119</v>
      </c>
      <c r="BL12" s="41" t="s">
        <v>116</v>
      </c>
      <c r="BM12" s="42" t="s">
        <v>117</v>
      </c>
      <c r="BN12" s="41" t="s">
        <v>111</v>
      </c>
      <c r="BO12" s="41" t="s">
        <v>115</v>
      </c>
      <c r="BP12" s="41" t="s">
        <v>120</v>
      </c>
      <c r="BQ12" s="32" t="s">
        <v>125</v>
      </c>
      <c r="BR12" s="32" t="s">
        <v>100</v>
      </c>
      <c r="BS12" s="32" t="s">
        <v>101</v>
      </c>
      <c r="BT12" s="32" t="s">
        <v>126</v>
      </c>
      <c r="BU12" s="45" t="s">
        <v>74</v>
      </c>
      <c r="BV12" s="41" t="s">
        <v>5</v>
      </c>
    </row>
    <row r="13" spans="1:74" ht="52.5" customHeight="1">
      <c r="A13" s="31"/>
      <c r="B13" s="31"/>
      <c r="C13" s="30"/>
      <c r="D13" s="30"/>
      <c r="E13" s="19" t="s">
        <v>4</v>
      </c>
      <c r="F13" s="19" t="s">
        <v>75</v>
      </c>
      <c r="G13" s="30"/>
      <c r="H13" s="19" t="s">
        <v>4</v>
      </c>
      <c r="I13" s="19" t="s">
        <v>75</v>
      </c>
      <c r="J13" s="33"/>
      <c r="K13" s="21" t="s">
        <v>74</v>
      </c>
      <c r="L13" s="21" t="s">
        <v>77</v>
      </c>
      <c r="M13" s="21" t="s">
        <v>78</v>
      </c>
      <c r="N13" s="39"/>
      <c r="O13" s="40"/>
      <c r="P13" s="39"/>
      <c r="Q13" s="40"/>
      <c r="R13" s="33"/>
      <c r="S13" s="33"/>
      <c r="T13" s="33"/>
      <c r="U13" s="33"/>
      <c r="V13" s="33"/>
      <c r="W13" s="33"/>
      <c r="X13" s="33"/>
      <c r="Y13" s="41"/>
      <c r="Z13" s="41"/>
      <c r="AA13" s="41"/>
      <c r="AB13" s="43"/>
      <c r="AC13" s="43"/>
      <c r="AD13" s="43"/>
      <c r="AE13" s="41"/>
      <c r="AF13" s="43"/>
      <c r="AG13" s="43"/>
      <c r="AH13" s="43"/>
      <c r="AI13" s="41"/>
      <c r="AJ13" s="41"/>
      <c r="AK13" s="41"/>
      <c r="AL13" s="43"/>
      <c r="AM13" s="43"/>
      <c r="AN13" s="43"/>
      <c r="AO13" s="43"/>
      <c r="AP13" s="43"/>
      <c r="AQ13" s="43"/>
      <c r="AR13" s="43"/>
      <c r="AS13" s="43"/>
      <c r="AT13" s="43"/>
      <c r="AU13" s="41"/>
      <c r="AV13" s="41"/>
      <c r="AW13" s="41"/>
      <c r="AX13" s="43"/>
      <c r="AY13" s="43"/>
      <c r="AZ13" s="43"/>
      <c r="BA13" s="26">
        <v>2010</v>
      </c>
      <c r="BB13" s="26">
        <v>2011</v>
      </c>
      <c r="BC13" s="26">
        <v>2012</v>
      </c>
      <c r="BD13" s="43"/>
      <c r="BE13" s="43"/>
      <c r="BF13" s="43"/>
      <c r="BG13" s="43"/>
      <c r="BH13" s="43"/>
      <c r="BI13" s="43"/>
      <c r="BJ13" s="43"/>
      <c r="BK13" s="43"/>
      <c r="BL13" s="41"/>
      <c r="BM13" s="43"/>
      <c r="BN13" s="41"/>
      <c r="BO13" s="41"/>
      <c r="BP13" s="41"/>
      <c r="BQ13" s="33"/>
      <c r="BR13" s="33"/>
      <c r="BS13" s="33"/>
      <c r="BT13" s="33"/>
      <c r="BU13" s="46"/>
      <c r="BV13" s="41"/>
    </row>
    <row r="14" spans="1:74" s="15" customFormat="1" ht="15.75">
      <c r="A14" s="12" t="s">
        <v>6</v>
      </c>
      <c r="B14" s="12" t="s">
        <v>7</v>
      </c>
      <c r="C14" s="13" t="s">
        <v>8</v>
      </c>
      <c r="D14" s="14">
        <f>SUM(D15:D21)</f>
        <v>1144027.5</v>
      </c>
      <c r="E14" s="14">
        <f>F14-D14</f>
        <v>32495.100000000093</v>
      </c>
      <c r="F14" s="14">
        <f>SUM(F15:F21)</f>
        <v>1176522.6</v>
      </c>
      <c r="G14" s="14">
        <f>SUM(G15:G21)</f>
        <v>1177034.6</v>
      </c>
      <c r="H14" s="14">
        <f>I14-G14</f>
        <v>69708.5</v>
      </c>
      <c r="I14" s="14">
        <f>SUM(I15:I21)</f>
        <v>1246743.1</v>
      </c>
      <c r="J14" s="14">
        <f>SUM(J15:J21)</f>
        <v>1246480.2000000002</v>
      </c>
      <c r="K14" s="14">
        <f>SUM(K15:K21)</f>
        <v>799.9999999999998</v>
      </c>
      <c r="L14" s="14">
        <f>SUM(L15:L21)</f>
        <v>840</v>
      </c>
      <c r="M14" s="14">
        <f>SUM(M15:M21)</f>
        <v>855</v>
      </c>
      <c r="N14" s="14">
        <f aca="true" t="shared" si="0" ref="N14:N63">K14+E14</f>
        <v>33295.10000000009</v>
      </c>
      <c r="O14" s="14">
        <f aca="true" t="shared" si="1" ref="O14:O63">K14+F14</f>
        <v>1177322.6</v>
      </c>
      <c r="P14" s="14">
        <f aca="true" t="shared" si="2" ref="P14:P63">L14+H14</f>
        <v>70548.5</v>
      </c>
      <c r="Q14" s="14">
        <f aca="true" t="shared" si="3" ref="Q14:R63">L14+I14</f>
        <v>1247583.1</v>
      </c>
      <c r="R14" s="14">
        <f t="shared" si="3"/>
        <v>1247335.2000000002</v>
      </c>
      <c r="S14" s="17">
        <f>SUM(S15:S21)</f>
        <v>23638.000000000004</v>
      </c>
      <c r="T14" s="17">
        <f>SUM(T15:T21)</f>
        <v>0</v>
      </c>
      <c r="U14" s="17">
        <f>SUM(U15:U21)</f>
        <v>0</v>
      </c>
      <c r="V14" s="17">
        <f aca="true" t="shared" si="4" ref="V14:V63">O14+S14</f>
        <v>1200960.6</v>
      </c>
      <c r="W14" s="17">
        <f aca="true" t="shared" si="5" ref="W14:X63">Q14+T14</f>
        <v>1247583.1</v>
      </c>
      <c r="X14" s="17">
        <f t="shared" si="5"/>
        <v>1247335.2000000002</v>
      </c>
      <c r="Y14" s="14">
        <f>SUM(Y15:Y21)</f>
        <v>15183.1</v>
      </c>
      <c r="Z14" s="14">
        <f>SUM(Z15:Z21)</f>
        <v>0</v>
      </c>
      <c r="AA14" s="14">
        <f>SUM(AA15:AA21)</f>
        <v>0</v>
      </c>
      <c r="AB14" s="17">
        <f aca="true" t="shared" si="6" ref="AB14:AD63">V14+Y14</f>
        <v>1216143.7000000002</v>
      </c>
      <c r="AC14" s="17">
        <f t="shared" si="6"/>
        <v>1247583.1</v>
      </c>
      <c r="AD14" s="17">
        <f t="shared" si="6"/>
        <v>1247335.2000000002</v>
      </c>
      <c r="AE14" s="14">
        <f>SUM(AE15:AE21)</f>
        <v>1250</v>
      </c>
      <c r="AF14" s="17">
        <f aca="true" t="shared" si="7" ref="AF14:AF63">AE14+AB14</f>
        <v>1217393.7000000002</v>
      </c>
      <c r="AG14" s="17">
        <f aca="true" t="shared" si="8" ref="AG14:AH63">AC14</f>
        <v>1247583.1</v>
      </c>
      <c r="AH14" s="17">
        <f t="shared" si="8"/>
        <v>1247335.2000000002</v>
      </c>
      <c r="AI14" s="14">
        <f>SUM(AI15:AI21)</f>
        <v>0</v>
      </c>
      <c r="AJ14" s="14">
        <f>SUM(AJ15:AJ21)</f>
        <v>0</v>
      </c>
      <c r="AK14" s="14">
        <f>SUM(AK15:AK21)</f>
        <v>0</v>
      </c>
      <c r="AL14" s="17">
        <f aca="true" t="shared" si="9" ref="AL14:AN63">AF14+AI14</f>
        <v>1217393.7000000002</v>
      </c>
      <c r="AM14" s="17">
        <f t="shared" si="9"/>
        <v>1247583.1</v>
      </c>
      <c r="AN14" s="17">
        <f t="shared" si="9"/>
        <v>1247335.2000000002</v>
      </c>
      <c r="AO14" s="14">
        <f>SUM(AO15:AO21)</f>
        <v>0</v>
      </c>
      <c r="AP14" s="14">
        <f>SUM(AP15:AP21)</f>
        <v>0</v>
      </c>
      <c r="AQ14" s="14">
        <f>SUM(AQ15:AQ21)</f>
        <v>0</v>
      </c>
      <c r="AR14" s="14">
        <f aca="true" t="shared" si="10" ref="AR14:AT63">AL14+AO14</f>
        <v>1217393.7000000002</v>
      </c>
      <c r="AS14" s="14">
        <f t="shared" si="10"/>
        <v>1247583.1</v>
      </c>
      <c r="AT14" s="14">
        <f t="shared" si="10"/>
        <v>1247335.2000000002</v>
      </c>
      <c r="AU14" s="14">
        <f>SUM(AU15:AU21)</f>
        <v>117708.73599999998</v>
      </c>
      <c r="AV14" s="14">
        <f>SUM(AV15:AV21)</f>
        <v>0</v>
      </c>
      <c r="AW14" s="14">
        <f>SUM(AW15:AW21)</f>
        <v>0</v>
      </c>
      <c r="AX14" s="14">
        <f aca="true" t="shared" si="11" ref="AX14:AZ63">AR14+AU14</f>
        <v>1335102.4360000002</v>
      </c>
      <c r="AY14" s="14">
        <f t="shared" si="11"/>
        <v>1247583.1</v>
      </c>
      <c r="AZ14" s="14">
        <f t="shared" si="11"/>
        <v>1247335.2000000002</v>
      </c>
      <c r="BA14" s="14">
        <f>SUM(BA15:BA21)</f>
        <v>0</v>
      </c>
      <c r="BB14" s="14">
        <f>SUM(BB15:BB21)</f>
        <v>0</v>
      </c>
      <c r="BC14" s="14">
        <f>SUM(BC15:BC21)</f>
        <v>0</v>
      </c>
      <c r="BD14" s="14">
        <f aca="true" t="shared" si="12" ref="BD14:BF63">AX14+BA14</f>
        <v>1335102.4360000002</v>
      </c>
      <c r="BE14" s="14">
        <f t="shared" si="12"/>
        <v>1247583.1</v>
      </c>
      <c r="BF14" s="14">
        <f t="shared" si="12"/>
        <v>1247335.2000000002</v>
      </c>
      <c r="BG14" s="14">
        <f>SUM(BG15:BG21)</f>
        <v>816.5</v>
      </c>
      <c r="BH14" s="14">
        <f>SUM(BH15:BH21)</f>
        <v>0</v>
      </c>
      <c r="BI14" s="14">
        <f aca="true" t="shared" si="13" ref="BI14:BJ63">BD14+BG14</f>
        <v>1335918.9360000002</v>
      </c>
      <c r="BJ14" s="14">
        <f t="shared" si="13"/>
        <v>1247583.1</v>
      </c>
      <c r="BK14" s="14">
        <f aca="true" t="shared" si="14" ref="BK14:BK63">BF14</f>
        <v>1247335.2000000002</v>
      </c>
      <c r="BL14" s="14">
        <f>SUM(BL15:BL21)</f>
        <v>0</v>
      </c>
      <c r="BM14" s="14">
        <f aca="true" t="shared" si="15" ref="BM14:BM63">BI14+BL14</f>
        <v>1335918.9360000002</v>
      </c>
      <c r="BN14" s="14">
        <f>SUM(BN15:BN21)</f>
        <v>3284.3670000000006</v>
      </c>
      <c r="BO14" s="14">
        <f>SUM(BO15:BO21)</f>
        <v>600.8</v>
      </c>
      <c r="BP14" s="14">
        <f>SUM(BP15:BP21)</f>
        <v>600.8</v>
      </c>
      <c r="BQ14" s="14">
        <f aca="true" t="shared" si="16" ref="BQ14:BQ63">BM14+BN14</f>
        <v>1339203.3030000003</v>
      </c>
      <c r="BR14" s="14">
        <f aca="true" t="shared" si="17" ref="BR14:BS63">BJ14+BO14</f>
        <v>1248183.9000000001</v>
      </c>
      <c r="BS14" s="14">
        <f t="shared" si="17"/>
        <v>1247936.0000000002</v>
      </c>
      <c r="BT14" s="14">
        <f>SUM(BT15:BT21)</f>
        <v>0</v>
      </c>
      <c r="BU14" s="14">
        <f>BQ14+BT14</f>
        <v>1339203.3030000003</v>
      </c>
      <c r="BV14" s="14">
        <f>SUM(BV15:BV21)</f>
        <v>0</v>
      </c>
    </row>
    <row r="15" spans="1:74" ht="31.5">
      <c r="A15" s="4" t="s">
        <v>6</v>
      </c>
      <c r="B15" s="7" t="s">
        <v>9</v>
      </c>
      <c r="C15" s="5" t="s">
        <v>10</v>
      </c>
      <c r="D15" s="6">
        <v>2712.3</v>
      </c>
      <c r="E15" s="6">
        <f aca="true" t="shared" si="18" ref="E15:E65">F15-D15</f>
        <v>-428.10000000000036</v>
      </c>
      <c r="F15" s="6">
        <v>2284.2</v>
      </c>
      <c r="G15" s="6">
        <v>2712.3</v>
      </c>
      <c r="H15" s="6">
        <f aca="true" t="shared" si="19" ref="H15:H65">I15-G15</f>
        <v>167.5999999999999</v>
      </c>
      <c r="I15" s="6">
        <v>2879.9</v>
      </c>
      <c r="J15" s="6">
        <v>2879.9</v>
      </c>
      <c r="K15" s="6"/>
      <c r="L15" s="6"/>
      <c r="M15" s="6"/>
      <c r="N15" s="6">
        <f t="shared" si="0"/>
        <v>-428.10000000000036</v>
      </c>
      <c r="O15" s="6">
        <f t="shared" si="1"/>
        <v>2284.2</v>
      </c>
      <c r="P15" s="6">
        <f t="shared" si="2"/>
        <v>167.5999999999999</v>
      </c>
      <c r="Q15" s="6">
        <f t="shared" si="3"/>
        <v>2879.9</v>
      </c>
      <c r="R15" s="6">
        <f t="shared" si="3"/>
        <v>2879.9</v>
      </c>
      <c r="S15" s="18"/>
      <c r="T15" s="18"/>
      <c r="U15" s="18"/>
      <c r="V15" s="18">
        <f t="shared" si="4"/>
        <v>2284.2</v>
      </c>
      <c r="W15" s="18">
        <f t="shared" si="5"/>
        <v>2879.9</v>
      </c>
      <c r="X15" s="18">
        <f t="shared" si="5"/>
        <v>2879.9</v>
      </c>
      <c r="Y15" s="6"/>
      <c r="Z15" s="6"/>
      <c r="AA15" s="6"/>
      <c r="AB15" s="18">
        <f t="shared" si="6"/>
        <v>2284.2</v>
      </c>
      <c r="AC15" s="18">
        <f t="shared" si="6"/>
        <v>2879.9</v>
      </c>
      <c r="AD15" s="18">
        <f t="shared" si="6"/>
        <v>2879.9</v>
      </c>
      <c r="AE15" s="6"/>
      <c r="AF15" s="18">
        <f t="shared" si="7"/>
        <v>2284.2</v>
      </c>
      <c r="AG15" s="18">
        <f t="shared" si="8"/>
        <v>2879.9</v>
      </c>
      <c r="AH15" s="18">
        <f t="shared" si="8"/>
        <v>2879.9</v>
      </c>
      <c r="AI15" s="6"/>
      <c r="AJ15" s="6"/>
      <c r="AK15" s="6"/>
      <c r="AL15" s="18">
        <f t="shared" si="9"/>
        <v>2284.2</v>
      </c>
      <c r="AM15" s="18">
        <f t="shared" si="9"/>
        <v>2879.9</v>
      </c>
      <c r="AN15" s="18">
        <f t="shared" si="9"/>
        <v>2879.9</v>
      </c>
      <c r="AO15" s="6"/>
      <c r="AP15" s="6"/>
      <c r="AQ15" s="6"/>
      <c r="AR15" s="6">
        <f t="shared" si="10"/>
        <v>2284.2</v>
      </c>
      <c r="AS15" s="6">
        <f t="shared" si="10"/>
        <v>2879.9</v>
      </c>
      <c r="AT15" s="6">
        <f t="shared" si="10"/>
        <v>2879.9</v>
      </c>
      <c r="AU15" s="6"/>
      <c r="AV15" s="6"/>
      <c r="AW15" s="6"/>
      <c r="AX15" s="6">
        <f t="shared" si="11"/>
        <v>2284.2</v>
      </c>
      <c r="AY15" s="6">
        <f t="shared" si="11"/>
        <v>2879.9</v>
      </c>
      <c r="AZ15" s="6">
        <f t="shared" si="11"/>
        <v>2879.9</v>
      </c>
      <c r="BA15" s="6"/>
      <c r="BB15" s="6"/>
      <c r="BC15" s="6"/>
      <c r="BD15" s="6">
        <f t="shared" si="12"/>
        <v>2284.2</v>
      </c>
      <c r="BE15" s="6">
        <f t="shared" si="12"/>
        <v>2879.9</v>
      </c>
      <c r="BF15" s="6">
        <f t="shared" si="12"/>
        <v>2879.9</v>
      </c>
      <c r="BG15" s="6"/>
      <c r="BH15" s="6"/>
      <c r="BI15" s="6">
        <f t="shared" si="13"/>
        <v>2284.2</v>
      </c>
      <c r="BJ15" s="6">
        <f t="shared" si="13"/>
        <v>2879.9</v>
      </c>
      <c r="BK15" s="6">
        <f t="shared" si="14"/>
        <v>2879.9</v>
      </c>
      <c r="BL15" s="6"/>
      <c r="BM15" s="6">
        <f t="shared" si="15"/>
        <v>2284.2</v>
      </c>
      <c r="BN15" s="6"/>
      <c r="BO15" s="6"/>
      <c r="BP15" s="6"/>
      <c r="BQ15" s="6">
        <f t="shared" si="16"/>
        <v>2284.2</v>
      </c>
      <c r="BR15" s="6">
        <f t="shared" si="17"/>
        <v>2879.9</v>
      </c>
      <c r="BS15" s="6">
        <f t="shared" si="17"/>
        <v>2879.9</v>
      </c>
      <c r="BT15" s="6"/>
      <c r="BU15" s="6">
        <f aca="true" t="shared" si="20" ref="BU15:BU65">BQ15+BT15</f>
        <v>2284.2</v>
      </c>
      <c r="BV15" s="6"/>
    </row>
    <row r="16" spans="1:74" ht="47.25">
      <c r="A16" s="4" t="s">
        <v>6</v>
      </c>
      <c r="B16" s="7" t="s">
        <v>11</v>
      </c>
      <c r="C16" s="5" t="s">
        <v>12</v>
      </c>
      <c r="D16" s="6">
        <v>124222.3</v>
      </c>
      <c r="E16" s="6">
        <f t="shared" si="18"/>
        <v>-5947.800000000003</v>
      </c>
      <c r="F16" s="6">
        <v>118274.5</v>
      </c>
      <c r="G16" s="6">
        <v>129184.3</v>
      </c>
      <c r="H16" s="6">
        <f t="shared" si="19"/>
        <v>4244.699999999997</v>
      </c>
      <c r="I16" s="6">
        <v>133429</v>
      </c>
      <c r="J16" s="6">
        <v>133429</v>
      </c>
      <c r="K16" s="6"/>
      <c r="L16" s="6"/>
      <c r="M16" s="6"/>
      <c r="N16" s="6">
        <f t="shared" si="0"/>
        <v>-5947.800000000003</v>
      </c>
      <c r="O16" s="6">
        <f t="shared" si="1"/>
        <v>118274.5</v>
      </c>
      <c r="P16" s="6">
        <f t="shared" si="2"/>
        <v>4244.699999999997</v>
      </c>
      <c r="Q16" s="6">
        <f t="shared" si="3"/>
        <v>133429</v>
      </c>
      <c r="R16" s="6">
        <f t="shared" si="3"/>
        <v>133429</v>
      </c>
      <c r="S16" s="18"/>
      <c r="T16" s="18"/>
      <c r="U16" s="18"/>
      <c r="V16" s="18">
        <f t="shared" si="4"/>
        <v>118274.5</v>
      </c>
      <c r="W16" s="18">
        <f t="shared" si="5"/>
        <v>133429</v>
      </c>
      <c r="X16" s="18">
        <f t="shared" si="5"/>
        <v>133429</v>
      </c>
      <c r="Y16" s="6"/>
      <c r="Z16" s="6"/>
      <c r="AA16" s="6"/>
      <c r="AB16" s="18">
        <f t="shared" si="6"/>
        <v>118274.5</v>
      </c>
      <c r="AC16" s="18">
        <f t="shared" si="6"/>
        <v>133429</v>
      </c>
      <c r="AD16" s="18">
        <f t="shared" si="6"/>
        <v>133429</v>
      </c>
      <c r="AE16" s="6"/>
      <c r="AF16" s="18">
        <f t="shared" si="7"/>
        <v>118274.5</v>
      </c>
      <c r="AG16" s="18">
        <f t="shared" si="8"/>
        <v>133429</v>
      </c>
      <c r="AH16" s="18">
        <f t="shared" si="8"/>
        <v>133429</v>
      </c>
      <c r="AI16" s="6"/>
      <c r="AJ16" s="6"/>
      <c r="AK16" s="6"/>
      <c r="AL16" s="18">
        <f t="shared" si="9"/>
        <v>118274.5</v>
      </c>
      <c r="AM16" s="18">
        <f t="shared" si="9"/>
        <v>133429</v>
      </c>
      <c r="AN16" s="18">
        <f t="shared" si="9"/>
        <v>133429</v>
      </c>
      <c r="AO16" s="6"/>
      <c r="AP16" s="6"/>
      <c r="AQ16" s="6"/>
      <c r="AR16" s="6">
        <f t="shared" si="10"/>
        <v>118274.5</v>
      </c>
      <c r="AS16" s="6">
        <f t="shared" si="10"/>
        <v>133429</v>
      </c>
      <c r="AT16" s="6">
        <f t="shared" si="10"/>
        <v>133429</v>
      </c>
      <c r="AU16" s="6"/>
      <c r="AV16" s="6"/>
      <c r="AW16" s="6"/>
      <c r="AX16" s="6">
        <f t="shared" si="11"/>
        <v>118274.5</v>
      </c>
      <c r="AY16" s="6">
        <f t="shared" si="11"/>
        <v>133429</v>
      </c>
      <c r="AZ16" s="6">
        <f t="shared" si="11"/>
        <v>133429</v>
      </c>
      <c r="BA16" s="6"/>
      <c r="BB16" s="6"/>
      <c r="BC16" s="6"/>
      <c r="BD16" s="6">
        <f t="shared" si="12"/>
        <v>118274.5</v>
      </c>
      <c r="BE16" s="6">
        <f t="shared" si="12"/>
        <v>133429</v>
      </c>
      <c r="BF16" s="6">
        <f t="shared" si="12"/>
        <v>133429</v>
      </c>
      <c r="BG16" s="6"/>
      <c r="BH16" s="6"/>
      <c r="BI16" s="6">
        <f t="shared" si="13"/>
        <v>118274.5</v>
      </c>
      <c r="BJ16" s="6">
        <f t="shared" si="13"/>
        <v>133429</v>
      </c>
      <c r="BK16" s="6">
        <f t="shared" si="14"/>
        <v>133429</v>
      </c>
      <c r="BL16" s="6"/>
      <c r="BM16" s="6">
        <f t="shared" si="15"/>
        <v>118274.5</v>
      </c>
      <c r="BN16" s="6"/>
      <c r="BO16" s="6"/>
      <c r="BP16" s="6"/>
      <c r="BQ16" s="6">
        <f t="shared" si="16"/>
        <v>118274.5</v>
      </c>
      <c r="BR16" s="6">
        <f t="shared" si="17"/>
        <v>133429</v>
      </c>
      <c r="BS16" s="6">
        <f t="shared" si="17"/>
        <v>133429</v>
      </c>
      <c r="BT16" s="6">
        <v>2500</v>
      </c>
      <c r="BU16" s="6">
        <f t="shared" si="20"/>
        <v>120774.5</v>
      </c>
      <c r="BV16" s="6"/>
    </row>
    <row r="17" spans="1:74" ht="47.25">
      <c r="A17" s="4" t="s">
        <v>6</v>
      </c>
      <c r="B17" s="7" t="s">
        <v>13</v>
      </c>
      <c r="C17" s="5" t="s">
        <v>14</v>
      </c>
      <c r="D17" s="6">
        <v>464632.6</v>
      </c>
      <c r="E17" s="6">
        <f t="shared" si="18"/>
        <v>3079.7000000000116</v>
      </c>
      <c r="F17" s="6">
        <v>467712.3</v>
      </c>
      <c r="G17" s="6">
        <v>482746.3</v>
      </c>
      <c r="H17" s="6">
        <f t="shared" si="19"/>
        <v>48719.899999999965</v>
      </c>
      <c r="I17" s="6">
        <v>531466.2</v>
      </c>
      <c r="J17" s="6">
        <v>520711.9</v>
      </c>
      <c r="K17" s="6">
        <f>211.8+211.8+211.8+211.8+211.8+211.8+211.8+197.3+600</f>
        <v>2279.8999999999996</v>
      </c>
      <c r="L17" s="6">
        <f>219.6+219.6+219.6+219.6+219.6+219.6+219.6+212+840</f>
        <v>2589.2</v>
      </c>
      <c r="M17" s="6">
        <f>219.6+219.6+219.6+219.6+219.6+219.6+219.6+212+855</f>
        <v>2604.2</v>
      </c>
      <c r="N17" s="6">
        <f t="shared" si="0"/>
        <v>5359.600000000011</v>
      </c>
      <c r="O17" s="6">
        <f t="shared" si="1"/>
        <v>469992.2</v>
      </c>
      <c r="P17" s="6">
        <f t="shared" si="2"/>
        <v>51309.09999999996</v>
      </c>
      <c r="Q17" s="6">
        <f t="shared" si="3"/>
        <v>534055.3999999999</v>
      </c>
      <c r="R17" s="6">
        <f t="shared" si="3"/>
        <v>523316.10000000003</v>
      </c>
      <c r="S17" s="18"/>
      <c r="T17" s="18"/>
      <c r="U17" s="18"/>
      <c r="V17" s="18">
        <f t="shared" si="4"/>
        <v>469992.2</v>
      </c>
      <c r="W17" s="18">
        <f t="shared" si="5"/>
        <v>534055.3999999999</v>
      </c>
      <c r="X17" s="18">
        <f t="shared" si="5"/>
        <v>523316.10000000003</v>
      </c>
      <c r="Y17" s="6">
        <f>4200+9733.1</f>
        <v>13933.1</v>
      </c>
      <c r="Z17" s="6"/>
      <c r="AA17" s="6"/>
      <c r="AB17" s="18">
        <f t="shared" si="6"/>
        <v>483925.3</v>
      </c>
      <c r="AC17" s="18">
        <f t="shared" si="6"/>
        <v>534055.3999999999</v>
      </c>
      <c r="AD17" s="18">
        <f t="shared" si="6"/>
        <v>523316.10000000003</v>
      </c>
      <c r="AE17" s="6"/>
      <c r="AF17" s="18">
        <f t="shared" si="7"/>
        <v>483925.3</v>
      </c>
      <c r="AG17" s="18">
        <f t="shared" si="8"/>
        <v>534055.3999999999</v>
      </c>
      <c r="AH17" s="18">
        <f t="shared" si="8"/>
        <v>523316.10000000003</v>
      </c>
      <c r="AI17" s="6"/>
      <c r="AJ17" s="6"/>
      <c r="AK17" s="6"/>
      <c r="AL17" s="18">
        <f t="shared" si="9"/>
        <v>483925.3</v>
      </c>
      <c r="AM17" s="18">
        <f t="shared" si="9"/>
        <v>534055.3999999999</v>
      </c>
      <c r="AN17" s="18">
        <f t="shared" si="9"/>
        <v>523316.10000000003</v>
      </c>
      <c r="AO17" s="6"/>
      <c r="AP17" s="6"/>
      <c r="AQ17" s="6"/>
      <c r="AR17" s="6">
        <f t="shared" si="10"/>
        <v>483925.3</v>
      </c>
      <c r="AS17" s="6">
        <f t="shared" si="10"/>
        <v>534055.3999999999</v>
      </c>
      <c r="AT17" s="6">
        <f t="shared" si="10"/>
        <v>523316.10000000003</v>
      </c>
      <c r="AU17" s="6">
        <f>24.373+5.091+25.982+16.296+4.212+4.308+5992.21+8910+137.157+242.2+1740+30530.646+452.665</f>
        <v>48085.14</v>
      </c>
      <c r="AV17" s="6">
        <f>282.9</f>
        <v>282.9</v>
      </c>
      <c r="AW17" s="6">
        <f>282.9</f>
        <v>282.9</v>
      </c>
      <c r="AX17" s="6">
        <f t="shared" si="11"/>
        <v>532010.44</v>
      </c>
      <c r="AY17" s="6">
        <f t="shared" si="11"/>
        <v>534338.2999999999</v>
      </c>
      <c r="AZ17" s="6">
        <f t="shared" si="11"/>
        <v>523599.00000000006</v>
      </c>
      <c r="BA17" s="6"/>
      <c r="BB17" s="6">
        <v>17.5</v>
      </c>
      <c r="BC17" s="6">
        <v>17.5</v>
      </c>
      <c r="BD17" s="6">
        <f t="shared" si="12"/>
        <v>532010.44</v>
      </c>
      <c r="BE17" s="6">
        <f t="shared" si="12"/>
        <v>534355.7999999999</v>
      </c>
      <c r="BF17" s="6">
        <f t="shared" si="12"/>
        <v>523616.50000000006</v>
      </c>
      <c r="BG17" s="6">
        <f>-396.2-5992.21</f>
        <v>-6388.41</v>
      </c>
      <c r="BH17" s="6"/>
      <c r="BI17" s="6">
        <f t="shared" si="13"/>
        <v>525622.0299999999</v>
      </c>
      <c r="BJ17" s="6">
        <f t="shared" si="13"/>
        <v>534355.7999999999</v>
      </c>
      <c r="BK17" s="6">
        <f t="shared" si="14"/>
        <v>523616.50000000006</v>
      </c>
      <c r="BL17" s="6"/>
      <c r="BM17" s="6">
        <f t="shared" si="15"/>
        <v>525622.0299999999</v>
      </c>
      <c r="BN17" s="6">
        <v>1950</v>
      </c>
      <c r="BO17" s="6"/>
      <c r="BP17" s="6"/>
      <c r="BQ17" s="6">
        <f t="shared" si="16"/>
        <v>527572.0299999999</v>
      </c>
      <c r="BR17" s="6">
        <f t="shared" si="17"/>
        <v>534355.7999999999</v>
      </c>
      <c r="BS17" s="6">
        <f t="shared" si="17"/>
        <v>523616.50000000006</v>
      </c>
      <c r="BT17" s="6">
        <f>-799.7-2500</f>
        <v>-3299.7</v>
      </c>
      <c r="BU17" s="6">
        <f t="shared" si="20"/>
        <v>524272.3299999999</v>
      </c>
      <c r="BV17" s="6"/>
    </row>
    <row r="18" spans="1:74" ht="31.5">
      <c r="A18" s="4" t="s">
        <v>6</v>
      </c>
      <c r="B18" s="7" t="s">
        <v>15</v>
      </c>
      <c r="C18" s="5" t="s">
        <v>16</v>
      </c>
      <c r="D18" s="6">
        <v>96578.4</v>
      </c>
      <c r="E18" s="6">
        <f t="shared" si="18"/>
        <v>-12037.399999999994</v>
      </c>
      <c r="F18" s="6">
        <v>84541</v>
      </c>
      <c r="G18" s="6">
        <v>97428.6</v>
      </c>
      <c r="H18" s="6">
        <f t="shared" si="19"/>
        <v>-5052.600000000006</v>
      </c>
      <c r="I18" s="6">
        <v>92376</v>
      </c>
      <c r="J18" s="6">
        <v>92577.4</v>
      </c>
      <c r="K18" s="6"/>
      <c r="L18" s="6"/>
      <c r="M18" s="6"/>
      <c r="N18" s="6">
        <f t="shared" si="0"/>
        <v>-12037.399999999994</v>
      </c>
      <c r="O18" s="6">
        <f t="shared" si="1"/>
        <v>84541</v>
      </c>
      <c r="P18" s="6">
        <f t="shared" si="2"/>
        <v>-5052.600000000006</v>
      </c>
      <c r="Q18" s="6">
        <f t="shared" si="3"/>
        <v>92376</v>
      </c>
      <c r="R18" s="6">
        <f t="shared" si="3"/>
        <v>92577.4</v>
      </c>
      <c r="S18" s="18"/>
      <c r="T18" s="18"/>
      <c r="U18" s="18"/>
      <c r="V18" s="18">
        <f t="shared" si="4"/>
        <v>84541</v>
      </c>
      <c r="W18" s="18">
        <f t="shared" si="5"/>
        <v>92376</v>
      </c>
      <c r="X18" s="18">
        <f t="shared" si="5"/>
        <v>92577.4</v>
      </c>
      <c r="Y18" s="6"/>
      <c r="Z18" s="6"/>
      <c r="AA18" s="6"/>
      <c r="AB18" s="18">
        <f t="shared" si="6"/>
        <v>84541</v>
      </c>
      <c r="AC18" s="18">
        <f t="shared" si="6"/>
        <v>92376</v>
      </c>
      <c r="AD18" s="18">
        <f t="shared" si="6"/>
        <v>92577.4</v>
      </c>
      <c r="AE18" s="6"/>
      <c r="AF18" s="18">
        <f t="shared" si="7"/>
        <v>84541</v>
      </c>
      <c r="AG18" s="18">
        <f t="shared" si="8"/>
        <v>92376</v>
      </c>
      <c r="AH18" s="18">
        <f t="shared" si="8"/>
        <v>92577.4</v>
      </c>
      <c r="AI18" s="6"/>
      <c r="AJ18" s="6"/>
      <c r="AK18" s="6"/>
      <c r="AL18" s="18">
        <f t="shared" si="9"/>
        <v>84541</v>
      </c>
      <c r="AM18" s="18">
        <f t="shared" si="9"/>
        <v>92376</v>
      </c>
      <c r="AN18" s="18">
        <f t="shared" si="9"/>
        <v>92577.4</v>
      </c>
      <c r="AO18" s="6"/>
      <c r="AP18" s="6"/>
      <c r="AQ18" s="6"/>
      <c r="AR18" s="6">
        <f t="shared" si="10"/>
        <v>84541</v>
      </c>
      <c r="AS18" s="6">
        <f t="shared" si="10"/>
        <v>92376</v>
      </c>
      <c r="AT18" s="6">
        <f t="shared" si="10"/>
        <v>92577.4</v>
      </c>
      <c r="AU18" s="6"/>
      <c r="AV18" s="6"/>
      <c r="AW18" s="6"/>
      <c r="AX18" s="6">
        <f t="shared" si="11"/>
        <v>84541</v>
      </c>
      <c r="AY18" s="6">
        <f t="shared" si="11"/>
        <v>92376</v>
      </c>
      <c r="AZ18" s="6">
        <f t="shared" si="11"/>
        <v>92577.4</v>
      </c>
      <c r="BA18" s="6"/>
      <c r="BB18" s="6"/>
      <c r="BC18" s="6"/>
      <c r="BD18" s="6">
        <f t="shared" si="12"/>
        <v>84541</v>
      </c>
      <c r="BE18" s="6">
        <f t="shared" si="12"/>
        <v>92376</v>
      </c>
      <c r="BF18" s="6">
        <f t="shared" si="12"/>
        <v>92577.4</v>
      </c>
      <c r="BG18" s="6"/>
      <c r="BH18" s="6"/>
      <c r="BI18" s="6">
        <f t="shared" si="13"/>
        <v>84541</v>
      </c>
      <c r="BJ18" s="6">
        <f t="shared" si="13"/>
        <v>92376</v>
      </c>
      <c r="BK18" s="6">
        <f t="shared" si="14"/>
        <v>92577.4</v>
      </c>
      <c r="BL18" s="6"/>
      <c r="BM18" s="6">
        <f t="shared" si="15"/>
        <v>84541</v>
      </c>
      <c r="BN18" s="6"/>
      <c r="BO18" s="6"/>
      <c r="BP18" s="6"/>
      <c r="BQ18" s="6">
        <f t="shared" si="16"/>
        <v>84541</v>
      </c>
      <c r="BR18" s="6">
        <f t="shared" si="17"/>
        <v>92376</v>
      </c>
      <c r="BS18" s="6">
        <f t="shared" si="17"/>
        <v>92577.4</v>
      </c>
      <c r="BT18" s="6"/>
      <c r="BU18" s="6">
        <f t="shared" si="20"/>
        <v>84541</v>
      </c>
      <c r="BV18" s="6"/>
    </row>
    <row r="19" spans="1:74" ht="15.75">
      <c r="A19" s="4" t="s">
        <v>6</v>
      </c>
      <c r="B19" s="7" t="s">
        <v>17</v>
      </c>
      <c r="C19" s="5" t="s">
        <v>18</v>
      </c>
      <c r="D19" s="6">
        <v>4373.4</v>
      </c>
      <c r="E19" s="6">
        <f t="shared" si="18"/>
        <v>315.5</v>
      </c>
      <c r="F19" s="6">
        <v>4688.9</v>
      </c>
      <c r="G19" s="6">
        <v>4388.6</v>
      </c>
      <c r="H19" s="6">
        <f t="shared" si="19"/>
        <v>319.59999999999945</v>
      </c>
      <c r="I19" s="6">
        <v>4708.2</v>
      </c>
      <c r="J19" s="6">
        <v>4708.2</v>
      </c>
      <c r="K19" s="6"/>
      <c r="L19" s="6"/>
      <c r="M19" s="6"/>
      <c r="N19" s="6">
        <f t="shared" si="0"/>
        <v>315.5</v>
      </c>
      <c r="O19" s="6">
        <f t="shared" si="1"/>
        <v>4688.9</v>
      </c>
      <c r="P19" s="6">
        <f t="shared" si="2"/>
        <v>319.59999999999945</v>
      </c>
      <c r="Q19" s="6">
        <f t="shared" si="3"/>
        <v>4708.2</v>
      </c>
      <c r="R19" s="6">
        <f t="shared" si="3"/>
        <v>4708.2</v>
      </c>
      <c r="S19" s="18"/>
      <c r="T19" s="18"/>
      <c r="U19" s="18"/>
      <c r="V19" s="18">
        <f t="shared" si="4"/>
        <v>4688.9</v>
      </c>
      <c r="W19" s="18">
        <f t="shared" si="5"/>
        <v>4708.2</v>
      </c>
      <c r="X19" s="18">
        <f t="shared" si="5"/>
        <v>4708.2</v>
      </c>
      <c r="Y19" s="6"/>
      <c r="Z19" s="6"/>
      <c r="AA19" s="6"/>
      <c r="AB19" s="18">
        <f t="shared" si="6"/>
        <v>4688.9</v>
      </c>
      <c r="AC19" s="18">
        <f t="shared" si="6"/>
        <v>4708.2</v>
      </c>
      <c r="AD19" s="18">
        <f t="shared" si="6"/>
        <v>4708.2</v>
      </c>
      <c r="AE19" s="6"/>
      <c r="AF19" s="18">
        <f t="shared" si="7"/>
        <v>4688.9</v>
      </c>
      <c r="AG19" s="18">
        <f t="shared" si="8"/>
        <v>4708.2</v>
      </c>
      <c r="AH19" s="18">
        <f t="shared" si="8"/>
        <v>4708.2</v>
      </c>
      <c r="AI19" s="6"/>
      <c r="AJ19" s="6"/>
      <c r="AK19" s="6"/>
      <c r="AL19" s="18">
        <f t="shared" si="9"/>
        <v>4688.9</v>
      </c>
      <c r="AM19" s="18">
        <f t="shared" si="9"/>
        <v>4708.2</v>
      </c>
      <c r="AN19" s="18">
        <f t="shared" si="9"/>
        <v>4708.2</v>
      </c>
      <c r="AO19" s="6"/>
      <c r="AP19" s="6"/>
      <c r="AQ19" s="6"/>
      <c r="AR19" s="6">
        <f t="shared" si="10"/>
        <v>4688.9</v>
      </c>
      <c r="AS19" s="6">
        <f t="shared" si="10"/>
        <v>4708.2</v>
      </c>
      <c r="AT19" s="6">
        <f t="shared" si="10"/>
        <v>4708.2</v>
      </c>
      <c r="AU19" s="6">
        <f>8.578+3000</f>
        <v>3008.578</v>
      </c>
      <c r="AV19" s="6"/>
      <c r="AW19" s="6"/>
      <c r="AX19" s="6">
        <f t="shared" si="11"/>
        <v>7697.477999999999</v>
      </c>
      <c r="AY19" s="6">
        <f t="shared" si="11"/>
        <v>4708.2</v>
      </c>
      <c r="AZ19" s="6">
        <f t="shared" si="11"/>
        <v>4708.2</v>
      </c>
      <c r="BA19" s="6"/>
      <c r="BB19" s="6"/>
      <c r="BC19" s="6"/>
      <c r="BD19" s="6">
        <f t="shared" si="12"/>
        <v>7697.477999999999</v>
      </c>
      <c r="BE19" s="6">
        <f t="shared" si="12"/>
        <v>4708.2</v>
      </c>
      <c r="BF19" s="6">
        <f t="shared" si="12"/>
        <v>4708.2</v>
      </c>
      <c r="BG19" s="6"/>
      <c r="BH19" s="6"/>
      <c r="BI19" s="6">
        <f t="shared" si="13"/>
        <v>7697.477999999999</v>
      </c>
      <c r="BJ19" s="6">
        <f t="shared" si="13"/>
        <v>4708.2</v>
      </c>
      <c r="BK19" s="6">
        <f t="shared" si="14"/>
        <v>4708.2</v>
      </c>
      <c r="BL19" s="6"/>
      <c r="BM19" s="6">
        <f t="shared" si="15"/>
        <v>7697.477999999999</v>
      </c>
      <c r="BN19" s="6"/>
      <c r="BO19" s="6"/>
      <c r="BP19" s="6"/>
      <c r="BQ19" s="6">
        <f t="shared" si="16"/>
        <v>7697.477999999999</v>
      </c>
      <c r="BR19" s="6">
        <f t="shared" si="17"/>
        <v>4708.2</v>
      </c>
      <c r="BS19" s="6">
        <f t="shared" si="17"/>
        <v>4708.2</v>
      </c>
      <c r="BT19" s="6"/>
      <c r="BU19" s="6">
        <f t="shared" si="20"/>
        <v>7697.477999999999</v>
      </c>
      <c r="BV19" s="6"/>
    </row>
    <row r="20" spans="1:74" ht="15.75">
      <c r="A20" s="4" t="s">
        <v>6</v>
      </c>
      <c r="B20" s="7" t="s">
        <v>20</v>
      </c>
      <c r="C20" s="5" t="s">
        <v>21</v>
      </c>
      <c r="D20" s="6">
        <v>70115.5</v>
      </c>
      <c r="E20" s="6">
        <f t="shared" si="18"/>
        <v>-3758.899999999994</v>
      </c>
      <c r="F20" s="6">
        <v>66356.6</v>
      </c>
      <c r="G20" s="6">
        <v>75163.8</v>
      </c>
      <c r="H20" s="6">
        <f t="shared" si="19"/>
        <v>0</v>
      </c>
      <c r="I20" s="6">
        <v>75163.8</v>
      </c>
      <c r="J20" s="6">
        <v>75163.8</v>
      </c>
      <c r="K20" s="6"/>
      <c r="L20" s="6"/>
      <c r="M20" s="6"/>
      <c r="N20" s="6">
        <f t="shared" si="0"/>
        <v>-3758.899999999994</v>
      </c>
      <c r="O20" s="6">
        <f t="shared" si="1"/>
        <v>66356.6</v>
      </c>
      <c r="P20" s="6">
        <f t="shared" si="2"/>
        <v>0</v>
      </c>
      <c r="Q20" s="6">
        <f t="shared" si="3"/>
        <v>75163.8</v>
      </c>
      <c r="R20" s="6">
        <f t="shared" si="3"/>
        <v>75163.8</v>
      </c>
      <c r="S20" s="18"/>
      <c r="T20" s="18"/>
      <c r="U20" s="18"/>
      <c r="V20" s="18">
        <f t="shared" si="4"/>
        <v>66356.6</v>
      </c>
      <c r="W20" s="18">
        <f t="shared" si="5"/>
        <v>75163.8</v>
      </c>
      <c r="X20" s="18">
        <f t="shared" si="5"/>
        <v>75163.8</v>
      </c>
      <c r="Y20" s="6"/>
      <c r="Z20" s="6"/>
      <c r="AA20" s="6"/>
      <c r="AB20" s="18">
        <f t="shared" si="6"/>
        <v>66356.6</v>
      </c>
      <c r="AC20" s="18">
        <f t="shared" si="6"/>
        <v>75163.8</v>
      </c>
      <c r="AD20" s="18">
        <f t="shared" si="6"/>
        <v>75163.8</v>
      </c>
      <c r="AE20" s="6"/>
      <c r="AF20" s="18">
        <f t="shared" si="7"/>
        <v>66356.6</v>
      </c>
      <c r="AG20" s="18">
        <f t="shared" si="8"/>
        <v>75163.8</v>
      </c>
      <c r="AH20" s="18">
        <f t="shared" si="8"/>
        <v>75163.8</v>
      </c>
      <c r="AI20" s="6"/>
      <c r="AJ20" s="6"/>
      <c r="AK20" s="6"/>
      <c r="AL20" s="18">
        <f t="shared" si="9"/>
        <v>66356.6</v>
      </c>
      <c r="AM20" s="18">
        <f t="shared" si="9"/>
        <v>75163.8</v>
      </c>
      <c r="AN20" s="18">
        <f t="shared" si="9"/>
        <v>75163.8</v>
      </c>
      <c r="AO20" s="6"/>
      <c r="AP20" s="6"/>
      <c r="AQ20" s="6"/>
      <c r="AR20" s="6">
        <f t="shared" si="10"/>
        <v>66356.6</v>
      </c>
      <c r="AS20" s="6">
        <f t="shared" si="10"/>
        <v>75163.8</v>
      </c>
      <c r="AT20" s="6">
        <f t="shared" si="10"/>
        <v>75163.8</v>
      </c>
      <c r="AU20" s="6"/>
      <c r="AV20" s="6"/>
      <c r="AW20" s="6"/>
      <c r="AX20" s="6">
        <f t="shared" si="11"/>
        <v>66356.6</v>
      </c>
      <c r="AY20" s="6">
        <f t="shared" si="11"/>
        <v>75163.8</v>
      </c>
      <c r="AZ20" s="6">
        <f t="shared" si="11"/>
        <v>75163.8</v>
      </c>
      <c r="BA20" s="6"/>
      <c r="BB20" s="6"/>
      <c r="BC20" s="6"/>
      <c r="BD20" s="6">
        <f t="shared" si="12"/>
        <v>66356.6</v>
      </c>
      <c r="BE20" s="6">
        <f t="shared" si="12"/>
        <v>75163.8</v>
      </c>
      <c r="BF20" s="6">
        <f t="shared" si="12"/>
        <v>75163.8</v>
      </c>
      <c r="BG20" s="6"/>
      <c r="BH20" s="6"/>
      <c r="BI20" s="6">
        <f t="shared" si="13"/>
        <v>66356.6</v>
      </c>
      <c r="BJ20" s="6">
        <f t="shared" si="13"/>
        <v>75163.8</v>
      </c>
      <c r="BK20" s="6">
        <f t="shared" si="14"/>
        <v>75163.8</v>
      </c>
      <c r="BL20" s="6"/>
      <c r="BM20" s="6">
        <f t="shared" si="15"/>
        <v>66356.6</v>
      </c>
      <c r="BN20" s="6"/>
      <c r="BO20" s="6"/>
      <c r="BP20" s="6"/>
      <c r="BQ20" s="6">
        <f t="shared" si="16"/>
        <v>66356.6</v>
      </c>
      <c r="BR20" s="6">
        <f t="shared" si="17"/>
        <v>75163.8</v>
      </c>
      <c r="BS20" s="6">
        <f t="shared" si="17"/>
        <v>75163.8</v>
      </c>
      <c r="BT20" s="6"/>
      <c r="BU20" s="6">
        <f t="shared" si="20"/>
        <v>66356.6</v>
      </c>
      <c r="BV20" s="6"/>
    </row>
    <row r="21" spans="1:74" ht="15.75">
      <c r="A21" s="4" t="s">
        <v>6</v>
      </c>
      <c r="B21" s="7" t="s">
        <v>22</v>
      </c>
      <c r="C21" s="5" t="s">
        <v>23</v>
      </c>
      <c r="D21" s="6">
        <v>381393</v>
      </c>
      <c r="E21" s="6">
        <f t="shared" si="18"/>
        <v>51272.09999999998</v>
      </c>
      <c r="F21" s="6">
        <v>432665.1</v>
      </c>
      <c r="G21" s="6">
        <v>385410.7</v>
      </c>
      <c r="H21" s="6">
        <f t="shared" si="19"/>
        <v>21309.29999999999</v>
      </c>
      <c r="I21" s="6">
        <v>406720</v>
      </c>
      <c r="J21" s="6">
        <v>417010</v>
      </c>
      <c r="K21" s="6">
        <f>-211.8-211.8-211.8-211.8-211.8-211.8-211.8-197.3+40+160</f>
        <v>-1479.8999999999999</v>
      </c>
      <c r="L21" s="6">
        <f>-219.6-219.6-219.6-219.6-219.6-219.6-219.6-212</f>
        <v>-1749.1999999999998</v>
      </c>
      <c r="M21" s="6">
        <f>-219.6-219.6-219.6-219.6-219.6-219.6-219.6-212</f>
        <v>-1749.1999999999998</v>
      </c>
      <c r="N21" s="6">
        <f t="shared" si="0"/>
        <v>49792.199999999975</v>
      </c>
      <c r="O21" s="6">
        <f t="shared" si="1"/>
        <v>431185.19999999995</v>
      </c>
      <c r="P21" s="6">
        <f t="shared" si="2"/>
        <v>19560.099999999988</v>
      </c>
      <c r="Q21" s="6">
        <f t="shared" si="3"/>
        <v>404970.8</v>
      </c>
      <c r="R21" s="6">
        <f t="shared" si="3"/>
        <v>415260.8</v>
      </c>
      <c r="S21" s="18">
        <f>2316+3963.1+3847.4+2911.5+3109.6+2571.1+2816.2+471.4+631.7+1000</f>
        <v>23638.000000000004</v>
      </c>
      <c r="T21" s="18"/>
      <c r="U21" s="18"/>
      <c r="V21" s="18">
        <f t="shared" si="4"/>
        <v>454823.19999999995</v>
      </c>
      <c r="W21" s="18">
        <f t="shared" si="5"/>
        <v>404970.8</v>
      </c>
      <c r="X21" s="18">
        <f t="shared" si="5"/>
        <v>415260.8</v>
      </c>
      <c r="Y21" s="6">
        <f>-1250+2500</f>
        <v>1250</v>
      </c>
      <c r="Z21" s="6"/>
      <c r="AA21" s="6"/>
      <c r="AB21" s="18">
        <f t="shared" si="6"/>
        <v>456073.19999999995</v>
      </c>
      <c r="AC21" s="18">
        <f t="shared" si="6"/>
        <v>404970.8</v>
      </c>
      <c r="AD21" s="18">
        <f t="shared" si="6"/>
        <v>415260.8</v>
      </c>
      <c r="AE21" s="6">
        <v>1250</v>
      </c>
      <c r="AF21" s="18">
        <f t="shared" si="7"/>
        <v>457323.19999999995</v>
      </c>
      <c r="AG21" s="18">
        <f t="shared" si="8"/>
        <v>404970.8</v>
      </c>
      <c r="AH21" s="18">
        <f t="shared" si="8"/>
        <v>415260.8</v>
      </c>
      <c r="AI21" s="6"/>
      <c r="AJ21" s="6"/>
      <c r="AK21" s="6"/>
      <c r="AL21" s="18">
        <f t="shared" si="9"/>
        <v>457323.19999999995</v>
      </c>
      <c r="AM21" s="18">
        <f t="shared" si="9"/>
        <v>404970.8</v>
      </c>
      <c r="AN21" s="18">
        <f t="shared" si="9"/>
        <v>415260.8</v>
      </c>
      <c r="AO21" s="6"/>
      <c r="AP21" s="6"/>
      <c r="AQ21" s="6"/>
      <c r="AR21" s="6">
        <f t="shared" si="10"/>
        <v>457323.19999999995</v>
      </c>
      <c r="AS21" s="6">
        <f t="shared" si="10"/>
        <v>404970.8</v>
      </c>
      <c r="AT21" s="6">
        <f t="shared" si="10"/>
        <v>415260.8</v>
      </c>
      <c r="AU21" s="6">
        <f>-194.384+245.9+2605.7+142.9+27.811+0.102+72.727+5.601+397.495+109.737+120.472+178.084+515.85+1673.705+106.809+161.047+14.727+22.507+3.648+130.65+40+8.312+493+143.9+176+3.319+35945.28+4.744+1.498-484.4+242.2-245.9+222.441+412.1+2779.561+9269.125+11262.75</f>
        <v>66615.01799999998</v>
      </c>
      <c r="AV21" s="6">
        <f>-565.8+282.9</f>
        <v>-282.9</v>
      </c>
      <c r="AW21" s="6">
        <f>-565.8+282.9</f>
        <v>-282.9</v>
      </c>
      <c r="AX21" s="6">
        <f t="shared" si="11"/>
        <v>523938.21799999994</v>
      </c>
      <c r="AY21" s="6">
        <f t="shared" si="11"/>
        <v>404687.89999999997</v>
      </c>
      <c r="AZ21" s="6">
        <f t="shared" si="11"/>
        <v>414977.89999999997</v>
      </c>
      <c r="BA21" s="6"/>
      <c r="BB21" s="6">
        <f>-35+17.5</f>
        <v>-17.5</v>
      </c>
      <c r="BC21" s="6">
        <f>-35+17.5</f>
        <v>-17.5</v>
      </c>
      <c r="BD21" s="6">
        <f t="shared" si="12"/>
        <v>523938.21799999994</v>
      </c>
      <c r="BE21" s="6">
        <f t="shared" si="12"/>
        <v>404670.39999999997</v>
      </c>
      <c r="BF21" s="6">
        <f t="shared" si="12"/>
        <v>414960.39999999997</v>
      </c>
      <c r="BG21" s="6">
        <f>161.9+222+828.8+5992.21</f>
        <v>7204.91</v>
      </c>
      <c r="BH21" s="6"/>
      <c r="BI21" s="6">
        <f t="shared" si="13"/>
        <v>531143.1279999999</v>
      </c>
      <c r="BJ21" s="6">
        <f t="shared" si="13"/>
        <v>404670.39999999997</v>
      </c>
      <c r="BK21" s="6">
        <f t="shared" si="14"/>
        <v>414960.39999999997</v>
      </c>
      <c r="BL21" s="6"/>
      <c r="BM21" s="6">
        <f t="shared" si="15"/>
        <v>531143.1279999999</v>
      </c>
      <c r="BN21" s="6">
        <f>5786.859+188.3-3000-1640.792</f>
        <v>1334.3670000000006</v>
      </c>
      <c r="BO21" s="6">
        <v>600.8</v>
      </c>
      <c r="BP21" s="6">
        <v>600.8</v>
      </c>
      <c r="BQ21" s="6">
        <f t="shared" si="16"/>
        <v>532477.4949999999</v>
      </c>
      <c r="BR21" s="6">
        <f t="shared" si="17"/>
        <v>405271.19999999995</v>
      </c>
      <c r="BS21" s="6">
        <f t="shared" si="17"/>
        <v>415561.19999999995</v>
      </c>
      <c r="BT21" s="6">
        <f>1700-275.2-625.1</f>
        <v>799.6999999999999</v>
      </c>
      <c r="BU21" s="6">
        <f t="shared" si="20"/>
        <v>533277.1949999998</v>
      </c>
      <c r="BV21" s="6"/>
    </row>
    <row r="22" spans="1:74" s="15" customFormat="1" ht="31.5">
      <c r="A22" s="12" t="s">
        <v>11</v>
      </c>
      <c r="B22" s="12" t="s">
        <v>7</v>
      </c>
      <c r="C22" s="22" t="s">
        <v>24</v>
      </c>
      <c r="D22" s="14">
        <f>SUM(D23:D25)</f>
        <v>1285867.4999999998</v>
      </c>
      <c r="E22" s="14">
        <f t="shared" si="18"/>
        <v>-220668.2999999998</v>
      </c>
      <c r="F22" s="14">
        <f>SUM(F23:F25)</f>
        <v>1065199.2</v>
      </c>
      <c r="G22" s="14">
        <f>SUM(G23:G25)</f>
        <v>1289347.1</v>
      </c>
      <c r="H22" s="14">
        <f t="shared" si="19"/>
        <v>-72033.20000000019</v>
      </c>
      <c r="I22" s="14">
        <f>SUM(I23:I25)</f>
        <v>1217313.9</v>
      </c>
      <c r="J22" s="14">
        <f>SUM(J23:J25)</f>
        <v>1276957.7999999998</v>
      </c>
      <c r="K22" s="14">
        <f>SUM(K23:K25)</f>
        <v>0</v>
      </c>
      <c r="L22" s="14">
        <f>SUM(L23:L25)</f>
        <v>0</v>
      </c>
      <c r="M22" s="14">
        <f>SUM(M23:M25)</f>
        <v>0</v>
      </c>
      <c r="N22" s="14">
        <f t="shared" si="0"/>
        <v>-220668.2999999998</v>
      </c>
      <c r="O22" s="14">
        <f t="shared" si="1"/>
        <v>1065199.2</v>
      </c>
      <c r="P22" s="14">
        <f t="shared" si="2"/>
        <v>-72033.20000000019</v>
      </c>
      <c r="Q22" s="14">
        <f t="shared" si="3"/>
        <v>1217313.9</v>
      </c>
      <c r="R22" s="14">
        <f t="shared" si="3"/>
        <v>1276957.7999999998</v>
      </c>
      <c r="S22" s="17">
        <f>SUM(S23:S25)</f>
        <v>149733.3</v>
      </c>
      <c r="T22" s="17">
        <f>SUM(T23:T25)</f>
        <v>0</v>
      </c>
      <c r="U22" s="17">
        <f>SUM(U23:U25)</f>
        <v>0</v>
      </c>
      <c r="V22" s="17">
        <f t="shared" si="4"/>
        <v>1214932.5</v>
      </c>
      <c r="W22" s="17">
        <f t="shared" si="5"/>
        <v>1217313.9</v>
      </c>
      <c r="X22" s="17">
        <f t="shared" si="5"/>
        <v>1276957.7999999998</v>
      </c>
      <c r="Y22" s="14">
        <f>SUM(Y23:Y25)</f>
        <v>0</v>
      </c>
      <c r="Z22" s="14">
        <f>SUM(Z23:Z25)</f>
        <v>0</v>
      </c>
      <c r="AA22" s="14">
        <f>SUM(AA23:AA25)</f>
        <v>0</v>
      </c>
      <c r="AB22" s="17">
        <f t="shared" si="6"/>
        <v>1214932.5</v>
      </c>
      <c r="AC22" s="17">
        <f t="shared" si="6"/>
        <v>1217313.9</v>
      </c>
      <c r="AD22" s="17">
        <f t="shared" si="6"/>
        <v>1276957.7999999998</v>
      </c>
      <c r="AE22" s="14">
        <f>SUM(AE23:AE25)</f>
        <v>2148</v>
      </c>
      <c r="AF22" s="17">
        <f t="shared" si="7"/>
        <v>1217080.5</v>
      </c>
      <c r="AG22" s="17">
        <f t="shared" si="8"/>
        <v>1217313.9</v>
      </c>
      <c r="AH22" s="17">
        <f t="shared" si="8"/>
        <v>1276957.7999999998</v>
      </c>
      <c r="AI22" s="14">
        <f>SUM(AI23:AI25)</f>
        <v>0</v>
      </c>
      <c r="AJ22" s="14">
        <f>SUM(AJ23:AJ25)</f>
        <v>0</v>
      </c>
      <c r="AK22" s="14">
        <f>SUM(AK23:AK25)</f>
        <v>0</v>
      </c>
      <c r="AL22" s="17">
        <f t="shared" si="9"/>
        <v>1217080.5</v>
      </c>
      <c r="AM22" s="17">
        <f t="shared" si="9"/>
        <v>1217313.9</v>
      </c>
      <c r="AN22" s="17">
        <f t="shared" si="9"/>
        <v>1276957.7999999998</v>
      </c>
      <c r="AO22" s="14">
        <f>SUM(AO23:AO25)</f>
        <v>0</v>
      </c>
      <c r="AP22" s="14">
        <f>SUM(AP23:AP25)</f>
        <v>0</v>
      </c>
      <c r="AQ22" s="14">
        <f>SUM(AQ23:AQ25)</f>
        <v>0</v>
      </c>
      <c r="AR22" s="14">
        <f t="shared" si="10"/>
        <v>1217080.5</v>
      </c>
      <c r="AS22" s="14">
        <f t="shared" si="10"/>
        <v>1217313.9</v>
      </c>
      <c r="AT22" s="14">
        <f t="shared" si="10"/>
        <v>1276957.7999999998</v>
      </c>
      <c r="AU22" s="14">
        <f>SUM(AU23:AU25)</f>
        <v>16705.796000000002</v>
      </c>
      <c r="AV22" s="14">
        <f>SUM(AV23:AV25)</f>
        <v>4259.5</v>
      </c>
      <c r="AW22" s="14">
        <f>SUM(AW23:AW25)</f>
        <v>4740.8</v>
      </c>
      <c r="AX22" s="14">
        <f t="shared" si="11"/>
        <v>1233786.296</v>
      </c>
      <c r="AY22" s="14">
        <f t="shared" si="11"/>
        <v>1221573.4</v>
      </c>
      <c r="AZ22" s="14">
        <f t="shared" si="11"/>
        <v>1281698.5999999999</v>
      </c>
      <c r="BA22" s="14">
        <f>SUM(BA23:BA25)</f>
        <v>0</v>
      </c>
      <c r="BB22" s="14">
        <f>SUM(BB23:BB25)</f>
        <v>0</v>
      </c>
      <c r="BC22" s="14">
        <f>SUM(BC23:BC25)</f>
        <v>0</v>
      </c>
      <c r="BD22" s="14">
        <f t="shared" si="12"/>
        <v>1233786.296</v>
      </c>
      <c r="BE22" s="14">
        <f t="shared" si="12"/>
        <v>1221573.4</v>
      </c>
      <c r="BF22" s="14">
        <f t="shared" si="12"/>
        <v>1281698.5999999999</v>
      </c>
      <c r="BG22" s="14">
        <f>SUM(BG23:BG25)</f>
        <v>-500</v>
      </c>
      <c r="BH22" s="14">
        <f>SUM(BH23:BH25)</f>
        <v>0</v>
      </c>
      <c r="BI22" s="14">
        <f t="shared" si="13"/>
        <v>1233286.296</v>
      </c>
      <c r="BJ22" s="14">
        <f t="shared" si="13"/>
        <v>1221573.4</v>
      </c>
      <c r="BK22" s="14">
        <f t="shared" si="14"/>
        <v>1281698.5999999999</v>
      </c>
      <c r="BL22" s="14">
        <f>SUM(BL23:BL25)</f>
        <v>0</v>
      </c>
      <c r="BM22" s="14">
        <f t="shared" si="15"/>
        <v>1233286.296</v>
      </c>
      <c r="BN22" s="14">
        <f>SUM(BN23:BN25)</f>
        <v>1240</v>
      </c>
      <c r="BO22" s="14">
        <f>SUM(BO23:BO25)</f>
        <v>0</v>
      </c>
      <c r="BP22" s="14">
        <f>SUM(BP23:BP25)</f>
        <v>0</v>
      </c>
      <c r="BQ22" s="14">
        <f t="shared" si="16"/>
        <v>1234526.296</v>
      </c>
      <c r="BR22" s="14">
        <f t="shared" si="17"/>
        <v>1221573.4</v>
      </c>
      <c r="BS22" s="14">
        <f t="shared" si="17"/>
        <v>1281698.5999999999</v>
      </c>
      <c r="BT22" s="14">
        <f>SUM(BT23:BT25)</f>
        <v>0</v>
      </c>
      <c r="BU22" s="14">
        <f t="shared" si="20"/>
        <v>1234526.296</v>
      </c>
      <c r="BV22" s="14">
        <f>SUM(BV23:BV25)</f>
        <v>0</v>
      </c>
    </row>
    <row r="23" spans="1:74" ht="15.75">
      <c r="A23" s="4" t="s">
        <v>11</v>
      </c>
      <c r="B23" s="7" t="s">
        <v>9</v>
      </c>
      <c r="C23" s="5" t="s">
        <v>25</v>
      </c>
      <c r="D23" s="6">
        <v>1155316.9</v>
      </c>
      <c r="E23" s="6">
        <f t="shared" si="18"/>
        <v>-205037.3999999999</v>
      </c>
      <c r="F23" s="6">
        <v>950279.5</v>
      </c>
      <c r="G23" s="6">
        <v>1145510</v>
      </c>
      <c r="H23" s="6">
        <f t="shared" si="19"/>
        <v>-59718.5</v>
      </c>
      <c r="I23" s="6">
        <v>1085791.5</v>
      </c>
      <c r="J23" s="6">
        <v>1145149.2</v>
      </c>
      <c r="K23" s="6"/>
      <c r="L23" s="6"/>
      <c r="M23" s="6"/>
      <c r="N23" s="6">
        <f t="shared" si="0"/>
        <v>-205037.3999999999</v>
      </c>
      <c r="O23" s="6">
        <f t="shared" si="1"/>
        <v>950279.5</v>
      </c>
      <c r="P23" s="6">
        <f t="shared" si="2"/>
        <v>-59718.5</v>
      </c>
      <c r="Q23" s="6">
        <f t="shared" si="3"/>
        <v>1085791.5</v>
      </c>
      <c r="R23" s="6">
        <f t="shared" si="3"/>
        <v>1145149.2</v>
      </c>
      <c r="S23" s="18">
        <f>149733.3</f>
        <v>149733.3</v>
      </c>
      <c r="T23" s="18"/>
      <c r="U23" s="18"/>
      <c r="V23" s="18">
        <f t="shared" si="4"/>
        <v>1100012.8</v>
      </c>
      <c r="W23" s="18">
        <f t="shared" si="5"/>
        <v>1085791.5</v>
      </c>
      <c r="X23" s="18">
        <f t="shared" si="5"/>
        <v>1145149.2</v>
      </c>
      <c r="Y23" s="6"/>
      <c r="Z23" s="6"/>
      <c r="AA23" s="6"/>
      <c r="AB23" s="18">
        <f t="shared" si="6"/>
        <v>1100012.8</v>
      </c>
      <c r="AC23" s="18">
        <f t="shared" si="6"/>
        <v>1085791.5</v>
      </c>
      <c r="AD23" s="18">
        <f t="shared" si="6"/>
        <v>1145149.2</v>
      </c>
      <c r="AE23" s="6">
        <f>2148</f>
        <v>2148</v>
      </c>
      <c r="AF23" s="18">
        <f t="shared" si="7"/>
        <v>1102160.8</v>
      </c>
      <c r="AG23" s="18">
        <f t="shared" si="8"/>
        <v>1085791.5</v>
      </c>
      <c r="AH23" s="18">
        <f t="shared" si="8"/>
        <v>1145149.2</v>
      </c>
      <c r="AI23" s="6"/>
      <c r="AJ23" s="6"/>
      <c r="AK23" s="6"/>
      <c r="AL23" s="18">
        <f t="shared" si="9"/>
        <v>1102160.8</v>
      </c>
      <c r="AM23" s="18">
        <f t="shared" si="9"/>
        <v>1085791.5</v>
      </c>
      <c r="AN23" s="18">
        <f t="shared" si="9"/>
        <v>1145149.2</v>
      </c>
      <c r="AO23" s="6"/>
      <c r="AP23" s="6"/>
      <c r="AQ23" s="6"/>
      <c r="AR23" s="6">
        <f t="shared" si="10"/>
        <v>1102160.8</v>
      </c>
      <c r="AS23" s="6">
        <f t="shared" si="10"/>
        <v>1085791.5</v>
      </c>
      <c r="AT23" s="6">
        <f t="shared" si="10"/>
        <v>1145149.2</v>
      </c>
      <c r="AU23" s="6">
        <f>1638.2+3329.992+929.022+179.152</f>
        <v>6076.366</v>
      </c>
      <c r="AV23" s="6">
        <f>4259.5</f>
        <v>4259.5</v>
      </c>
      <c r="AW23" s="6">
        <f>4740.8</f>
        <v>4740.8</v>
      </c>
      <c r="AX23" s="6">
        <f t="shared" si="11"/>
        <v>1108237.166</v>
      </c>
      <c r="AY23" s="6">
        <f t="shared" si="11"/>
        <v>1090051</v>
      </c>
      <c r="AZ23" s="6">
        <f t="shared" si="11"/>
        <v>1149890</v>
      </c>
      <c r="BA23" s="6"/>
      <c r="BB23" s="6"/>
      <c r="BC23" s="6"/>
      <c r="BD23" s="6">
        <f t="shared" si="12"/>
        <v>1108237.166</v>
      </c>
      <c r="BE23" s="6">
        <f t="shared" si="12"/>
        <v>1090051</v>
      </c>
      <c r="BF23" s="6">
        <f t="shared" si="12"/>
        <v>1149890</v>
      </c>
      <c r="BG23" s="6"/>
      <c r="BH23" s="6"/>
      <c r="BI23" s="6">
        <f t="shared" si="13"/>
        <v>1108237.166</v>
      </c>
      <c r="BJ23" s="6">
        <f t="shared" si="13"/>
        <v>1090051</v>
      </c>
      <c r="BK23" s="6">
        <f t="shared" si="14"/>
        <v>1149890</v>
      </c>
      <c r="BL23" s="6"/>
      <c r="BM23" s="6">
        <f t="shared" si="15"/>
        <v>1108237.166</v>
      </c>
      <c r="BN23" s="6">
        <v>1240</v>
      </c>
      <c r="BO23" s="6"/>
      <c r="BP23" s="6"/>
      <c r="BQ23" s="6">
        <f t="shared" si="16"/>
        <v>1109477.166</v>
      </c>
      <c r="BR23" s="6">
        <f t="shared" si="17"/>
        <v>1090051</v>
      </c>
      <c r="BS23" s="6">
        <f t="shared" si="17"/>
        <v>1149890</v>
      </c>
      <c r="BT23" s="6"/>
      <c r="BU23" s="6">
        <f t="shared" si="20"/>
        <v>1109477.166</v>
      </c>
      <c r="BV23" s="6"/>
    </row>
    <row r="24" spans="1:74" ht="31.5">
      <c r="A24" s="4" t="s">
        <v>11</v>
      </c>
      <c r="B24" s="7" t="s">
        <v>26</v>
      </c>
      <c r="C24" s="8" t="s">
        <v>27</v>
      </c>
      <c r="D24" s="6">
        <v>98217.2</v>
      </c>
      <c r="E24" s="6">
        <f t="shared" si="18"/>
        <v>-13162.899999999994</v>
      </c>
      <c r="F24" s="6">
        <v>85054.3</v>
      </c>
      <c r="G24" s="6">
        <v>107439.8</v>
      </c>
      <c r="H24" s="6">
        <f t="shared" si="19"/>
        <v>-11487.400000000009</v>
      </c>
      <c r="I24" s="6">
        <v>95952.4</v>
      </c>
      <c r="J24" s="6">
        <v>99482.4</v>
      </c>
      <c r="K24" s="6"/>
      <c r="L24" s="6"/>
      <c r="M24" s="6"/>
      <c r="N24" s="6">
        <f t="shared" si="0"/>
        <v>-13162.899999999994</v>
      </c>
      <c r="O24" s="6">
        <f t="shared" si="1"/>
        <v>85054.3</v>
      </c>
      <c r="P24" s="6">
        <f t="shared" si="2"/>
        <v>-11487.400000000009</v>
      </c>
      <c r="Q24" s="6">
        <f t="shared" si="3"/>
        <v>95952.4</v>
      </c>
      <c r="R24" s="6">
        <f t="shared" si="3"/>
        <v>99482.4</v>
      </c>
      <c r="S24" s="18"/>
      <c r="T24" s="18"/>
      <c r="U24" s="18"/>
      <c r="V24" s="18">
        <f t="shared" si="4"/>
        <v>85054.3</v>
      </c>
      <c r="W24" s="18">
        <f t="shared" si="5"/>
        <v>95952.4</v>
      </c>
      <c r="X24" s="18">
        <f t="shared" si="5"/>
        <v>99482.4</v>
      </c>
      <c r="Y24" s="6"/>
      <c r="Z24" s="6"/>
      <c r="AA24" s="6"/>
      <c r="AB24" s="18">
        <f t="shared" si="6"/>
        <v>85054.3</v>
      </c>
      <c r="AC24" s="18">
        <f t="shared" si="6"/>
        <v>95952.4</v>
      </c>
      <c r="AD24" s="18">
        <f t="shared" si="6"/>
        <v>99482.4</v>
      </c>
      <c r="AE24" s="6"/>
      <c r="AF24" s="18">
        <f t="shared" si="7"/>
        <v>85054.3</v>
      </c>
      <c r="AG24" s="18">
        <f t="shared" si="8"/>
        <v>95952.4</v>
      </c>
      <c r="AH24" s="18">
        <f t="shared" si="8"/>
        <v>99482.4</v>
      </c>
      <c r="AI24" s="6">
        <v>303.3</v>
      </c>
      <c r="AJ24" s="6">
        <v>303.3</v>
      </c>
      <c r="AK24" s="6">
        <v>303.3</v>
      </c>
      <c r="AL24" s="18">
        <f t="shared" si="9"/>
        <v>85357.6</v>
      </c>
      <c r="AM24" s="18">
        <f t="shared" si="9"/>
        <v>96255.7</v>
      </c>
      <c r="AN24" s="18">
        <f t="shared" si="9"/>
        <v>99785.7</v>
      </c>
      <c r="AO24" s="6"/>
      <c r="AP24" s="6"/>
      <c r="AQ24" s="6"/>
      <c r="AR24" s="6">
        <f t="shared" si="10"/>
        <v>85357.6</v>
      </c>
      <c r="AS24" s="6">
        <f t="shared" si="10"/>
        <v>96255.7</v>
      </c>
      <c r="AT24" s="6">
        <f t="shared" si="10"/>
        <v>99785.7</v>
      </c>
      <c r="AU24" s="6">
        <f>353.866-3+10275.564</f>
        <v>10626.43</v>
      </c>
      <c r="AV24" s="6">
        <v>-3</v>
      </c>
      <c r="AW24" s="6">
        <v>-3</v>
      </c>
      <c r="AX24" s="6">
        <f t="shared" si="11"/>
        <v>95984.03</v>
      </c>
      <c r="AY24" s="6">
        <f t="shared" si="11"/>
        <v>96252.7</v>
      </c>
      <c r="AZ24" s="6">
        <f t="shared" si="11"/>
        <v>99782.7</v>
      </c>
      <c r="BA24" s="6"/>
      <c r="BB24" s="6"/>
      <c r="BC24" s="6"/>
      <c r="BD24" s="6">
        <f t="shared" si="12"/>
        <v>95984.03</v>
      </c>
      <c r="BE24" s="6">
        <f t="shared" si="12"/>
        <v>96252.7</v>
      </c>
      <c r="BF24" s="6">
        <f t="shared" si="12"/>
        <v>99782.7</v>
      </c>
      <c r="BG24" s="6">
        <v>2000</v>
      </c>
      <c r="BH24" s="6"/>
      <c r="BI24" s="6">
        <f t="shared" si="13"/>
        <v>97984.03</v>
      </c>
      <c r="BJ24" s="6">
        <f t="shared" si="13"/>
        <v>96252.7</v>
      </c>
      <c r="BK24" s="6">
        <f t="shared" si="14"/>
        <v>99782.7</v>
      </c>
      <c r="BL24" s="6"/>
      <c r="BM24" s="6">
        <f t="shared" si="15"/>
        <v>97984.03</v>
      </c>
      <c r="BN24" s="6"/>
      <c r="BO24" s="6"/>
      <c r="BP24" s="6"/>
      <c r="BQ24" s="6">
        <f t="shared" si="16"/>
        <v>97984.03</v>
      </c>
      <c r="BR24" s="6">
        <f t="shared" si="17"/>
        <v>96252.7</v>
      </c>
      <c r="BS24" s="6">
        <f t="shared" si="17"/>
        <v>99782.7</v>
      </c>
      <c r="BT24" s="6"/>
      <c r="BU24" s="6">
        <f t="shared" si="20"/>
        <v>97984.03</v>
      </c>
      <c r="BV24" s="6"/>
    </row>
    <row r="25" spans="1:74" ht="31.5">
      <c r="A25" s="4" t="s">
        <v>11</v>
      </c>
      <c r="B25" s="7" t="s">
        <v>22</v>
      </c>
      <c r="C25" s="5" t="s">
        <v>28</v>
      </c>
      <c r="D25" s="6">
        <v>32333.4</v>
      </c>
      <c r="E25" s="6">
        <f t="shared" si="18"/>
        <v>-2468</v>
      </c>
      <c r="F25" s="6">
        <v>29865.4</v>
      </c>
      <c r="G25" s="6">
        <v>36397.3</v>
      </c>
      <c r="H25" s="6">
        <f t="shared" si="19"/>
        <v>-827.3000000000029</v>
      </c>
      <c r="I25" s="6">
        <v>35570</v>
      </c>
      <c r="J25" s="6">
        <v>32326.2</v>
      </c>
      <c r="K25" s="6">
        <f>1320.3-48.3+120-686.3+90-1115.3+880-860+180-530+90-919.2+570-314+1030-182.2+40+335</f>
        <v>0</v>
      </c>
      <c r="L25" s="6">
        <f>1924.9-1086+120-3100+410-2947.5+1005-2495.5+480-2595.4+520-2136.9+1260+2180-623.8+140-1879.8+830+1500+1500+1500+1500+1500+495</f>
        <v>0</v>
      </c>
      <c r="M25" s="6">
        <f>1879.9-1086+120-3100+160-2947.5+1370-2495.5+790-2595.4+730-2136.9+2070+2010-623.8+130-1879.8+1500+1500+1500+1500+1500+105</f>
        <v>0</v>
      </c>
      <c r="N25" s="6">
        <f t="shared" si="0"/>
        <v>-2468</v>
      </c>
      <c r="O25" s="6">
        <f t="shared" si="1"/>
        <v>29865.4</v>
      </c>
      <c r="P25" s="6">
        <f t="shared" si="2"/>
        <v>-827.3000000000029</v>
      </c>
      <c r="Q25" s="6">
        <f t="shared" si="3"/>
        <v>35570</v>
      </c>
      <c r="R25" s="6">
        <f t="shared" si="3"/>
        <v>32326.2</v>
      </c>
      <c r="S25" s="18"/>
      <c r="T25" s="18"/>
      <c r="U25" s="18"/>
      <c r="V25" s="18">
        <f t="shared" si="4"/>
        <v>29865.4</v>
      </c>
      <c r="W25" s="18">
        <f t="shared" si="5"/>
        <v>35570</v>
      </c>
      <c r="X25" s="18">
        <f t="shared" si="5"/>
        <v>32326.2</v>
      </c>
      <c r="Y25" s="6"/>
      <c r="Z25" s="6"/>
      <c r="AA25" s="6"/>
      <c r="AB25" s="18">
        <f t="shared" si="6"/>
        <v>29865.4</v>
      </c>
      <c r="AC25" s="18">
        <f t="shared" si="6"/>
        <v>35570</v>
      </c>
      <c r="AD25" s="18">
        <f t="shared" si="6"/>
        <v>32326.2</v>
      </c>
      <c r="AE25" s="6"/>
      <c r="AF25" s="18">
        <f t="shared" si="7"/>
        <v>29865.4</v>
      </c>
      <c r="AG25" s="18">
        <f t="shared" si="8"/>
        <v>35570</v>
      </c>
      <c r="AH25" s="18">
        <f t="shared" si="8"/>
        <v>32326.2</v>
      </c>
      <c r="AI25" s="6">
        <f>-303.3</f>
        <v>-303.3</v>
      </c>
      <c r="AJ25" s="6">
        <f>-303.3</f>
        <v>-303.3</v>
      </c>
      <c r="AK25" s="6">
        <f>-303.3</f>
        <v>-303.3</v>
      </c>
      <c r="AL25" s="18">
        <f t="shared" si="9"/>
        <v>29562.100000000002</v>
      </c>
      <c r="AM25" s="18">
        <f t="shared" si="9"/>
        <v>35266.7</v>
      </c>
      <c r="AN25" s="18">
        <f t="shared" si="9"/>
        <v>32022.9</v>
      </c>
      <c r="AO25" s="6"/>
      <c r="AP25" s="6"/>
      <c r="AQ25" s="6"/>
      <c r="AR25" s="6">
        <f t="shared" si="10"/>
        <v>29562.100000000002</v>
      </c>
      <c r="AS25" s="6">
        <f t="shared" si="10"/>
        <v>35266.7</v>
      </c>
      <c r="AT25" s="6">
        <f t="shared" si="10"/>
        <v>32022.9</v>
      </c>
      <c r="AU25" s="6">
        <v>3</v>
      </c>
      <c r="AV25" s="6">
        <v>3</v>
      </c>
      <c r="AW25" s="6">
        <v>3</v>
      </c>
      <c r="AX25" s="6">
        <f t="shared" si="11"/>
        <v>29565.100000000002</v>
      </c>
      <c r="AY25" s="6">
        <f t="shared" si="11"/>
        <v>35269.7</v>
      </c>
      <c r="AZ25" s="6">
        <f t="shared" si="11"/>
        <v>32025.9</v>
      </c>
      <c r="BA25" s="6"/>
      <c r="BB25" s="6"/>
      <c r="BC25" s="6"/>
      <c r="BD25" s="6">
        <f t="shared" si="12"/>
        <v>29565.100000000002</v>
      </c>
      <c r="BE25" s="6">
        <f t="shared" si="12"/>
        <v>35269.7</v>
      </c>
      <c r="BF25" s="6">
        <f t="shared" si="12"/>
        <v>32025.9</v>
      </c>
      <c r="BG25" s="6">
        <v>-2500</v>
      </c>
      <c r="BH25" s="6"/>
      <c r="BI25" s="6">
        <f t="shared" si="13"/>
        <v>27065.100000000002</v>
      </c>
      <c r="BJ25" s="6">
        <f t="shared" si="13"/>
        <v>35269.7</v>
      </c>
      <c r="BK25" s="6">
        <f t="shared" si="14"/>
        <v>32025.9</v>
      </c>
      <c r="BL25" s="6"/>
      <c r="BM25" s="6">
        <f t="shared" si="15"/>
        <v>27065.100000000002</v>
      </c>
      <c r="BN25" s="6"/>
      <c r="BO25" s="6"/>
      <c r="BP25" s="6"/>
      <c r="BQ25" s="6">
        <f t="shared" si="16"/>
        <v>27065.100000000002</v>
      </c>
      <c r="BR25" s="6">
        <f t="shared" si="17"/>
        <v>35269.7</v>
      </c>
      <c r="BS25" s="6">
        <f t="shared" si="17"/>
        <v>32025.9</v>
      </c>
      <c r="BT25" s="6"/>
      <c r="BU25" s="6">
        <f t="shared" si="20"/>
        <v>27065.100000000002</v>
      </c>
      <c r="BV25" s="6"/>
    </row>
    <row r="26" spans="1:74" s="15" customFormat="1" ht="15.75">
      <c r="A26" s="12" t="s">
        <v>13</v>
      </c>
      <c r="B26" s="12" t="s">
        <v>7</v>
      </c>
      <c r="C26" s="13" t="s">
        <v>29</v>
      </c>
      <c r="D26" s="14">
        <f>SUM(D27:D29)</f>
        <v>684622.3</v>
      </c>
      <c r="E26" s="14">
        <f t="shared" si="18"/>
        <v>405496.80000000005</v>
      </c>
      <c r="F26" s="14">
        <f>SUM(F27:F29)</f>
        <v>1090119.1</v>
      </c>
      <c r="G26" s="14">
        <f>SUM(G27:G29)</f>
        <v>417591.95</v>
      </c>
      <c r="H26" s="14">
        <f t="shared" si="19"/>
        <v>601532.6500000001</v>
      </c>
      <c r="I26" s="14">
        <f>SUM(I27:I29)</f>
        <v>1019124.6000000001</v>
      </c>
      <c r="J26" s="14">
        <f>SUM(J27:J29)</f>
        <v>1051027.6</v>
      </c>
      <c r="K26" s="14">
        <f>SUM(K27:K29)</f>
        <v>-90780</v>
      </c>
      <c r="L26" s="14">
        <f>SUM(L27:L29)</f>
        <v>-20049.3</v>
      </c>
      <c r="M26" s="14">
        <f>SUM(M27:M29)</f>
        <v>-5049.3</v>
      </c>
      <c r="N26" s="14">
        <f t="shared" si="0"/>
        <v>314716.80000000005</v>
      </c>
      <c r="O26" s="14">
        <f t="shared" si="1"/>
        <v>999339.1000000001</v>
      </c>
      <c r="P26" s="14">
        <f t="shared" si="2"/>
        <v>581483.3500000001</v>
      </c>
      <c r="Q26" s="14">
        <f t="shared" si="3"/>
        <v>999075.3</v>
      </c>
      <c r="R26" s="14">
        <f t="shared" si="3"/>
        <v>1045978.3</v>
      </c>
      <c r="S26" s="17">
        <f>SUM(S27:S29)</f>
        <v>0</v>
      </c>
      <c r="T26" s="17">
        <f>SUM(T27:T29)</f>
        <v>0</v>
      </c>
      <c r="U26" s="17">
        <f>SUM(U27:U29)</f>
        <v>0</v>
      </c>
      <c r="V26" s="17">
        <f t="shared" si="4"/>
        <v>999339.1000000001</v>
      </c>
      <c r="W26" s="17">
        <f t="shared" si="5"/>
        <v>999075.3</v>
      </c>
      <c r="X26" s="17">
        <f t="shared" si="5"/>
        <v>1045978.3</v>
      </c>
      <c r="Y26" s="14">
        <f>SUM(Y27:Y29)</f>
        <v>-13933.1</v>
      </c>
      <c r="Z26" s="14">
        <f>SUM(Z27:Z29)</f>
        <v>0</v>
      </c>
      <c r="AA26" s="14">
        <f>SUM(AA27:AA29)</f>
        <v>0</v>
      </c>
      <c r="AB26" s="17">
        <f t="shared" si="6"/>
        <v>985406.0000000001</v>
      </c>
      <c r="AC26" s="17">
        <f t="shared" si="6"/>
        <v>999075.3</v>
      </c>
      <c r="AD26" s="17">
        <f t="shared" si="6"/>
        <v>1045978.3</v>
      </c>
      <c r="AE26" s="14">
        <f>SUM(AE27:AE29)</f>
        <v>-2148</v>
      </c>
      <c r="AF26" s="17">
        <f t="shared" si="7"/>
        <v>983258.0000000001</v>
      </c>
      <c r="AG26" s="17">
        <f t="shared" si="8"/>
        <v>999075.3</v>
      </c>
      <c r="AH26" s="17">
        <f t="shared" si="8"/>
        <v>1045978.3</v>
      </c>
      <c r="AI26" s="14">
        <f>SUM(AI27:AI29)</f>
        <v>0</v>
      </c>
      <c r="AJ26" s="14">
        <f>SUM(AJ27:AJ29)</f>
        <v>0</v>
      </c>
      <c r="AK26" s="14">
        <f>SUM(AK27:AK29)</f>
        <v>0</v>
      </c>
      <c r="AL26" s="17">
        <f t="shared" si="9"/>
        <v>983258.0000000001</v>
      </c>
      <c r="AM26" s="17">
        <f t="shared" si="9"/>
        <v>999075.3</v>
      </c>
      <c r="AN26" s="17">
        <f t="shared" si="9"/>
        <v>1045978.3</v>
      </c>
      <c r="AO26" s="14">
        <f>SUM(AO27:AO29)</f>
        <v>0</v>
      </c>
      <c r="AP26" s="14">
        <f>SUM(AP27:AP29)</f>
        <v>0</v>
      </c>
      <c r="AQ26" s="14">
        <f>SUM(AQ27:AQ29)</f>
        <v>0</v>
      </c>
      <c r="AR26" s="14">
        <f t="shared" si="10"/>
        <v>983258.0000000001</v>
      </c>
      <c r="AS26" s="14">
        <f t="shared" si="10"/>
        <v>999075.3</v>
      </c>
      <c r="AT26" s="14">
        <f t="shared" si="10"/>
        <v>1045978.3</v>
      </c>
      <c r="AU26" s="14">
        <f>SUM(AU27:AU29)</f>
        <v>456902.134</v>
      </c>
      <c r="AV26" s="14">
        <f>SUM(AV27:AV29)</f>
        <v>-44677.29999999999</v>
      </c>
      <c r="AW26" s="14">
        <f>SUM(AW27:AW29)</f>
        <v>39116.30000000001</v>
      </c>
      <c r="AX26" s="14">
        <f t="shared" si="11"/>
        <v>1440160.134</v>
      </c>
      <c r="AY26" s="14">
        <f t="shared" si="11"/>
        <v>954398</v>
      </c>
      <c r="AZ26" s="14">
        <f t="shared" si="11"/>
        <v>1085094.6</v>
      </c>
      <c r="BA26" s="14">
        <f>SUM(BA27:BA29)</f>
        <v>0</v>
      </c>
      <c r="BB26" s="14">
        <f>SUM(BB27:BB29)</f>
        <v>0</v>
      </c>
      <c r="BC26" s="14">
        <f>SUM(BC27:BC29)</f>
        <v>0</v>
      </c>
      <c r="BD26" s="14">
        <f t="shared" si="12"/>
        <v>1440160.134</v>
      </c>
      <c r="BE26" s="14">
        <f t="shared" si="12"/>
        <v>954398</v>
      </c>
      <c r="BF26" s="14">
        <f t="shared" si="12"/>
        <v>1085094.6</v>
      </c>
      <c r="BG26" s="14">
        <f>SUM(BG27:BG29)</f>
        <v>-90828.8</v>
      </c>
      <c r="BH26" s="14">
        <f>SUM(BH27:BH29)</f>
        <v>0</v>
      </c>
      <c r="BI26" s="14">
        <f t="shared" si="13"/>
        <v>1349331.334</v>
      </c>
      <c r="BJ26" s="14">
        <f t="shared" si="13"/>
        <v>954398</v>
      </c>
      <c r="BK26" s="14">
        <f t="shared" si="14"/>
        <v>1085094.6</v>
      </c>
      <c r="BL26" s="14">
        <f>SUM(BL27:BL29)</f>
        <v>0</v>
      </c>
      <c r="BM26" s="14">
        <f t="shared" si="15"/>
        <v>1349331.334</v>
      </c>
      <c r="BN26" s="14">
        <f>SUM(BN27:BN29)</f>
        <v>-7736.859</v>
      </c>
      <c r="BO26" s="14">
        <f>SUM(BO27:BO29)</f>
        <v>0</v>
      </c>
      <c r="BP26" s="14">
        <f>SUM(BP27:BP29)</f>
        <v>0</v>
      </c>
      <c r="BQ26" s="14">
        <f t="shared" si="16"/>
        <v>1341594.475</v>
      </c>
      <c r="BR26" s="14">
        <f t="shared" si="17"/>
        <v>954398</v>
      </c>
      <c r="BS26" s="14">
        <f t="shared" si="17"/>
        <v>1085094.6</v>
      </c>
      <c r="BT26" s="14">
        <f>SUM(BT27:BT29)</f>
        <v>0</v>
      </c>
      <c r="BU26" s="14">
        <f t="shared" si="20"/>
        <v>1341594.475</v>
      </c>
      <c r="BV26" s="14">
        <f>SUM(BV27:BV29)</f>
        <v>0</v>
      </c>
    </row>
    <row r="27" spans="1:74" ht="15.75">
      <c r="A27" s="4" t="s">
        <v>13</v>
      </c>
      <c r="B27" s="7" t="s">
        <v>17</v>
      </c>
      <c r="C27" s="5" t="s">
        <v>30</v>
      </c>
      <c r="D27" s="6">
        <v>27384.2</v>
      </c>
      <c r="E27" s="6">
        <f t="shared" si="18"/>
        <v>-2721.100000000002</v>
      </c>
      <c r="F27" s="6">
        <v>24663.1</v>
      </c>
      <c r="G27" s="6">
        <v>22788.2</v>
      </c>
      <c r="H27" s="6">
        <f t="shared" si="19"/>
        <v>-2666.2000000000007</v>
      </c>
      <c r="I27" s="6">
        <v>20122</v>
      </c>
      <c r="J27" s="6">
        <v>20122</v>
      </c>
      <c r="K27" s="6"/>
      <c r="L27" s="6"/>
      <c r="M27" s="6"/>
      <c r="N27" s="6">
        <f t="shared" si="0"/>
        <v>-2721.100000000002</v>
      </c>
      <c r="O27" s="6">
        <f t="shared" si="1"/>
        <v>24663.1</v>
      </c>
      <c r="P27" s="6">
        <f t="shared" si="2"/>
        <v>-2666.2000000000007</v>
      </c>
      <c r="Q27" s="6">
        <f t="shared" si="3"/>
        <v>20122</v>
      </c>
      <c r="R27" s="6">
        <f t="shared" si="3"/>
        <v>20122</v>
      </c>
      <c r="S27" s="18"/>
      <c r="T27" s="18"/>
      <c r="U27" s="18"/>
      <c r="V27" s="18">
        <f t="shared" si="4"/>
        <v>24663.1</v>
      </c>
      <c r="W27" s="18">
        <f t="shared" si="5"/>
        <v>20122</v>
      </c>
      <c r="X27" s="18">
        <f t="shared" si="5"/>
        <v>20122</v>
      </c>
      <c r="Y27" s="6"/>
      <c r="Z27" s="6"/>
      <c r="AA27" s="6"/>
      <c r="AB27" s="18">
        <f t="shared" si="6"/>
        <v>24663.1</v>
      </c>
      <c r="AC27" s="18">
        <f t="shared" si="6"/>
        <v>20122</v>
      </c>
      <c r="AD27" s="18">
        <f t="shared" si="6"/>
        <v>20122</v>
      </c>
      <c r="AE27" s="6"/>
      <c r="AF27" s="18">
        <f t="shared" si="7"/>
        <v>24663.1</v>
      </c>
      <c r="AG27" s="18">
        <f t="shared" si="8"/>
        <v>20122</v>
      </c>
      <c r="AH27" s="18">
        <f t="shared" si="8"/>
        <v>20122</v>
      </c>
      <c r="AI27" s="6"/>
      <c r="AJ27" s="6"/>
      <c r="AK27" s="6"/>
      <c r="AL27" s="18">
        <f t="shared" si="9"/>
        <v>24663.1</v>
      </c>
      <c r="AM27" s="18">
        <f t="shared" si="9"/>
        <v>20122</v>
      </c>
      <c r="AN27" s="18">
        <f t="shared" si="9"/>
        <v>20122</v>
      </c>
      <c r="AO27" s="6"/>
      <c r="AP27" s="6"/>
      <c r="AQ27" s="6"/>
      <c r="AR27" s="6">
        <f t="shared" si="10"/>
        <v>24663.1</v>
      </c>
      <c r="AS27" s="6">
        <f t="shared" si="10"/>
        <v>20122</v>
      </c>
      <c r="AT27" s="6">
        <f t="shared" si="10"/>
        <v>20122</v>
      </c>
      <c r="AU27" s="6">
        <v>12900</v>
      </c>
      <c r="AV27" s="6"/>
      <c r="AW27" s="6"/>
      <c r="AX27" s="6">
        <f t="shared" si="11"/>
        <v>37563.1</v>
      </c>
      <c r="AY27" s="6">
        <f t="shared" si="11"/>
        <v>20122</v>
      </c>
      <c r="AZ27" s="6">
        <f t="shared" si="11"/>
        <v>20122</v>
      </c>
      <c r="BA27" s="6"/>
      <c r="BB27" s="6"/>
      <c r="BC27" s="6"/>
      <c r="BD27" s="6">
        <f t="shared" si="12"/>
        <v>37563.1</v>
      </c>
      <c r="BE27" s="6">
        <f t="shared" si="12"/>
        <v>20122</v>
      </c>
      <c r="BF27" s="6">
        <f t="shared" si="12"/>
        <v>20122</v>
      </c>
      <c r="BG27" s="6"/>
      <c r="BH27" s="6"/>
      <c r="BI27" s="6">
        <f t="shared" si="13"/>
        <v>37563.1</v>
      </c>
      <c r="BJ27" s="6">
        <f t="shared" si="13"/>
        <v>20122</v>
      </c>
      <c r="BK27" s="6">
        <f t="shared" si="14"/>
        <v>20122</v>
      </c>
      <c r="BL27" s="6"/>
      <c r="BM27" s="6">
        <f t="shared" si="15"/>
        <v>37563.1</v>
      </c>
      <c r="BN27" s="6"/>
      <c r="BO27" s="6"/>
      <c r="BP27" s="6"/>
      <c r="BQ27" s="6">
        <f t="shared" si="16"/>
        <v>37563.1</v>
      </c>
      <c r="BR27" s="6">
        <f t="shared" si="17"/>
        <v>20122</v>
      </c>
      <c r="BS27" s="6">
        <f t="shared" si="17"/>
        <v>20122</v>
      </c>
      <c r="BT27" s="6"/>
      <c r="BU27" s="6">
        <f t="shared" si="20"/>
        <v>37563.1</v>
      </c>
      <c r="BV27" s="6"/>
    </row>
    <row r="28" spans="1:74" ht="15.75">
      <c r="A28" s="4" t="s">
        <v>13</v>
      </c>
      <c r="B28" s="7" t="s">
        <v>31</v>
      </c>
      <c r="C28" s="5" t="s">
        <v>32</v>
      </c>
      <c r="D28" s="6">
        <v>324089.3</v>
      </c>
      <c r="E28" s="6">
        <f t="shared" si="18"/>
        <v>226497.3</v>
      </c>
      <c r="F28" s="6">
        <v>550586.6</v>
      </c>
      <c r="G28" s="6">
        <v>207217.94</v>
      </c>
      <c r="H28" s="6">
        <f t="shared" si="19"/>
        <v>441833.86000000004</v>
      </c>
      <c r="I28" s="6">
        <v>649051.8</v>
      </c>
      <c r="J28" s="6">
        <v>645502</v>
      </c>
      <c r="K28" s="6"/>
      <c r="L28" s="6"/>
      <c r="M28" s="6"/>
      <c r="N28" s="6">
        <f t="shared" si="0"/>
        <v>226497.3</v>
      </c>
      <c r="O28" s="6">
        <f t="shared" si="1"/>
        <v>550586.6</v>
      </c>
      <c r="P28" s="6">
        <f t="shared" si="2"/>
        <v>441833.86000000004</v>
      </c>
      <c r="Q28" s="6">
        <f t="shared" si="3"/>
        <v>649051.8</v>
      </c>
      <c r="R28" s="6">
        <f t="shared" si="3"/>
        <v>645502</v>
      </c>
      <c r="S28" s="18"/>
      <c r="T28" s="18"/>
      <c r="U28" s="18"/>
      <c r="V28" s="18">
        <f t="shared" si="4"/>
        <v>550586.6</v>
      </c>
      <c r="W28" s="18">
        <f t="shared" si="5"/>
        <v>649051.8</v>
      </c>
      <c r="X28" s="18">
        <f t="shared" si="5"/>
        <v>645502</v>
      </c>
      <c r="Y28" s="6"/>
      <c r="Z28" s="6"/>
      <c r="AA28" s="6"/>
      <c r="AB28" s="18">
        <f t="shared" si="6"/>
        <v>550586.6</v>
      </c>
      <c r="AC28" s="18">
        <f t="shared" si="6"/>
        <v>649051.8</v>
      </c>
      <c r="AD28" s="18">
        <f t="shared" si="6"/>
        <v>645502</v>
      </c>
      <c r="AE28" s="6">
        <f>24667.5-24667.5-2148</f>
        <v>-2148</v>
      </c>
      <c r="AF28" s="18">
        <f t="shared" si="7"/>
        <v>548438.6</v>
      </c>
      <c r="AG28" s="18">
        <f t="shared" si="8"/>
        <v>649051.8</v>
      </c>
      <c r="AH28" s="18">
        <f t="shared" si="8"/>
        <v>645502</v>
      </c>
      <c r="AI28" s="6"/>
      <c r="AJ28" s="6"/>
      <c r="AK28" s="6"/>
      <c r="AL28" s="18">
        <f t="shared" si="9"/>
        <v>548438.6</v>
      </c>
      <c r="AM28" s="18">
        <f t="shared" si="9"/>
        <v>649051.8</v>
      </c>
      <c r="AN28" s="18">
        <f t="shared" si="9"/>
        <v>645502</v>
      </c>
      <c r="AO28" s="6"/>
      <c r="AP28" s="6"/>
      <c r="AQ28" s="6"/>
      <c r="AR28" s="6">
        <f t="shared" si="10"/>
        <v>548438.6</v>
      </c>
      <c r="AS28" s="6">
        <f t="shared" si="10"/>
        <v>649051.8</v>
      </c>
      <c r="AT28" s="6">
        <f t="shared" si="10"/>
        <v>645502</v>
      </c>
      <c r="AU28" s="6">
        <f>-44300-65000-2627.7-59087.2+583.117+19.867+244688.6+25000+192209.8+8493.2+99979.7</f>
        <v>399959.384</v>
      </c>
      <c r="AV28" s="6">
        <f>-49837.5-73125-2627.7-68889.6+99965</f>
        <v>-94514.79999999999</v>
      </c>
      <c r="AW28" s="6">
        <f>-55469.1-2627.7-76674.1+118418.1</f>
        <v>-16352.799999999988</v>
      </c>
      <c r="AX28" s="6">
        <f t="shared" si="11"/>
        <v>948397.9839999999</v>
      </c>
      <c r="AY28" s="6">
        <f t="shared" si="11"/>
        <v>554537</v>
      </c>
      <c r="AZ28" s="6">
        <f t="shared" si="11"/>
        <v>629149.2</v>
      </c>
      <c r="BA28" s="6"/>
      <c r="BB28" s="6"/>
      <c r="BC28" s="6"/>
      <c r="BD28" s="6">
        <f t="shared" si="12"/>
        <v>948397.9839999999</v>
      </c>
      <c r="BE28" s="6">
        <f t="shared" si="12"/>
        <v>554537</v>
      </c>
      <c r="BF28" s="6">
        <f t="shared" si="12"/>
        <v>629149.2</v>
      </c>
      <c r="BG28" s="6"/>
      <c r="BH28" s="6"/>
      <c r="BI28" s="6">
        <f t="shared" si="13"/>
        <v>948397.9839999999</v>
      </c>
      <c r="BJ28" s="6">
        <f t="shared" si="13"/>
        <v>554537</v>
      </c>
      <c r="BK28" s="6">
        <f t="shared" si="14"/>
        <v>629149.2</v>
      </c>
      <c r="BL28" s="6"/>
      <c r="BM28" s="6">
        <f t="shared" si="15"/>
        <v>948397.9839999999</v>
      </c>
      <c r="BN28" s="6"/>
      <c r="BO28" s="6"/>
      <c r="BP28" s="6"/>
      <c r="BQ28" s="6">
        <f t="shared" si="16"/>
        <v>948397.9839999999</v>
      </c>
      <c r="BR28" s="6">
        <f t="shared" si="17"/>
        <v>554537</v>
      </c>
      <c r="BS28" s="6">
        <f t="shared" si="17"/>
        <v>629149.2</v>
      </c>
      <c r="BT28" s="6"/>
      <c r="BU28" s="6">
        <f t="shared" si="20"/>
        <v>948397.9839999999</v>
      </c>
      <c r="BV28" s="6"/>
    </row>
    <row r="29" spans="1:74" ht="15.75">
      <c r="A29" s="4" t="s">
        <v>13</v>
      </c>
      <c r="B29" s="7" t="s">
        <v>20</v>
      </c>
      <c r="C29" s="5" t="s">
        <v>33</v>
      </c>
      <c r="D29" s="6">
        <v>333148.8</v>
      </c>
      <c r="E29" s="6">
        <f t="shared" si="18"/>
        <v>181720.60000000003</v>
      </c>
      <c r="F29" s="6">
        <v>514869.4</v>
      </c>
      <c r="G29" s="6">
        <v>187585.81</v>
      </c>
      <c r="H29" s="6">
        <f t="shared" si="19"/>
        <v>162364.99</v>
      </c>
      <c r="I29" s="6">
        <v>349950.8</v>
      </c>
      <c r="J29" s="6">
        <v>385403.6</v>
      </c>
      <c r="K29" s="6">
        <f>-22895.6-5049.3-72083.8+9248.7</f>
        <v>-90780</v>
      </c>
      <c r="L29" s="6">
        <f>-5049.3-15000</f>
        <v>-20049.3</v>
      </c>
      <c r="M29" s="6">
        <f>-5049.3</f>
        <v>-5049.3</v>
      </c>
      <c r="N29" s="6">
        <f t="shared" si="0"/>
        <v>90940.60000000003</v>
      </c>
      <c r="O29" s="6">
        <f t="shared" si="1"/>
        <v>424089.4</v>
      </c>
      <c r="P29" s="6">
        <f t="shared" si="2"/>
        <v>142315.69</v>
      </c>
      <c r="Q29" s="6">
        <f t="shared" si="3"/>
        <v>329901.5</v>
      </c>
      <c r="R29" s="6">
        <f t="shared" si="3"/>
        <v>380354.3</v>
      </c>
      <c r="S29" s="18"/>
      <c r="T29" s="18"/>
      <c r="U29" s="18"/>
      <c r="V29" s="18">
        <f t="shared" si="4"/>
        <v>424089.4</v>
      </c>
      <c r="W29" s="18">
        <f t="shared" si="5"/>
        <v>329901.5</v>
      </c>
      <c r="X29" s="18">
        <f t="shared" si="5"/>
        <v>380354.3</v>
      </c>
      <c r="Y29" s="6">
        <f>-4200-9733.1</f>
        <v>-13933.1</v>
      </c>
      <c r="Z29" s="6"/>
      <c r="AA29" s="6"/>
      <c r="AB29" s="18">
        <f t="shared" si="6"/>
        <v>410156.30000000005</v>
      </c>
      <c r="AC29" s="18">
        <f t="shared" si="6"/>
        <v>329901.5</v>
      </c>
      <c r="AD29" s="18">
        <f t="shared" si="6"/>
        <v>380354.3</v>
      </c>
      <c r="AE29" s="6"/>
      <c r="AF29" s="18">
        <f t="shared" si="7"/>
        <v>410156.30000000005</v>
      </c>
      <c r="AG29" s="18">
        <f t="shared" si="8"/>
        <v>329901.5</v>
      </c>
      <c r="AH29" s="18">
        <f t="shared" si="8"/>
        <v>380354.3</v>
      </c>
      <c r="AI29" s="6"/>
      <c r="AJ29" s="6"/>
      <c r="AK29" s="6"/>
      <c r="AL29" s="18">
        <f t="shared" si="9"/>
        <v>410156.30000000005</v>
      </c>
      <c r="AM29" s="18">
        <f t="shared" si="9"/>
        <v>329901.5</v>
      </c>
      <c r="AN29" s="18">
        <f t="shared" si="9"/>
        <v>380354.3</v>
      </c>
      <c r="AO29" s="6"/>
      <c r="AP29" s="6"/>
      <c r="AQ29" s="6"/>
      <c r="AR29" s="6">
        <f t="shared" si="10"/>
        <v>410156.30000000005</v>
      </c>
      <c r="AS29" s="6">
        <f t="shared" si="10"/>
        <v>329901.5</v>
      </c>
      <c r="AT29" s="6">
        <f t="shared" si="10"/>
        <v>380354.3</v>
      </c>
      <c r="AU29" s="6">
        <f>44300-2605.7+1031.127+750+2.723+47+290.8+226.8</f>
        <v>44042.75000000001</v>
      </c>
      <c r="AV29" s="6">
        <f>49837.5</f>
        <v>49837.5</v>
      </c>
      <c r="AW29" s="6">
        <f>55469.1</f>
        <v>55469.1</v>
      </c>
      <c r="AX29" s="6">
        <f t="shared" si="11"/>
        <v>454199.05000000005</v>
      </c>
      <c r="AY29" s="6">
        <f t="shared" si="11"/>
        <v>379739</v>
      </c>
      <c r="AZ29" s="6">
        <f t="shared" si="11"/>
        <v>435823.39999999997</v>
      </c>
      <c r="BA29" s="6"/>
      <c r="BB29" s="6"/>
      <c r="BC29" s="6"/>
      <c r="BD29" s="6">
        <f t="shared" si="12"/>
        <v>454199.05000000005</v>
      </c>
      <c r="BE29" s="6">
        <f t="shared" si="12"/>
        <v>379739</v>
      </c>
      <c r="BF29" s="6">
        <f t="shared" si="12"/>
        <v>435823.39999999997</v>
      </c>
      <c r="BG29" s="6">
        <f>-828.8-90000</f>
        <v>-90828.8</v>
      </c>
      <c r="BH29" s="6"/>
      <c r="BI29" s="6">
        <f t="shared" si="13"/>
        <v>363370.25000000006</v>
      </c>
      <c r="BJ29" s="6">
        <f t="shared" si="13"/>
        <v>379739</v>
      </c>
      <c r="BK29" s="6">
        <f t="shared" si="14"/>
        <v>435823.39999999997</v>
      </c>
      <c r="BL29" s="6"/>
      <c r="BM29" s="6">
        <f t="shared" si="15"/>
        <v>363370.25000000006</v>
      </c>
      <c r="BN29" s="6">
        <f>-1301.007-100-20.1-4365.752-1950</f>
        <v>-7736.859</v>
      </c>
      <c r="BO29" s="6"/>
      <c r="BP29" s="6"/>
      <c r="BQ29" s="6">
        <f t="shared" si="16"/>
        <v>355633.39100000006</v>
      </c>
      <c r="BR29" s="6">
        <f t="shared" si="17"/>
        <v>379739</v>
      </c>
      <c r="BS29" s="6">
        <f t="shared" si="17"/>
        <v>435823.39999999997</v>
      </c>
      <c r="BT29" s="6"/>
      <c r="BU29" s="6">
        <f t="shared" si="20"/>
        <v>355633.39100000006</v>
      </c>
      <c r="BV29" s="6"/>
    </row>
    <row r="30" spans="1:74" s="15" customFormat="1" ht="15.75">
      <c r="A30" s="12" t="s">
        <v>34</v>
      </c>
      <c r="B30" s="12" t="s">
        <v>7</v>
      </c>
      <c r="C30" s="13" t="s">
        <v>35</v>
      </c>
      <c r="D30" s="14">
        <f>SUM(D31:D34)</f>
        <v>3664653.3000000003</v>
      </c>
      <c r="E30" s="14">
        <f t="shared" si="18"/>
        <v>445329.09999999916</v>
      </c>
      <c r="F30" s="14">
        <f>SUM(F31:F34)</f>
        <v>4109982.3999999994</v>
      </c>
      <c r="G30" s="14">
        <f>SUM(G31:G34)</f>
        <v>2819980.1</v>
      </c>
      <c r="H30" s="14">
        <f t="shared" si="19"/>
        <v>821125.4999999995</v>
      </c>
      <c r="I30" s="14">
        <f>SUM(I31:I34)</f>
        <v>3641105.5999999996</v>
      </c>
      <c r="J30" s="14">
        <f>SUM(J31:J34)</f>
        <v>3662171.7</v>
      </c>
      <c r="K30" s="14">
        <f>SUM(K31:K34)</f>
        <v>-3015.9</v>
      </c>
      <c r="L30" s="14">
        <f>SUM(L31:L34)</f>
        <v>-3045.9</v>
      </c>
      <c r="M30" s="14">
        <f>SUM(M31:M34)</f>
        <v>-3045.9</v>
      </c>
      <c r="N30" s="14">
        <f t="shared" si="0"/>
        <v>442313.19999999914</v>
      </c>
      <c r="O30" s="14">
        <f t="shared" si="1"/>
        <v>4106966.4999999995</v>
      </c>
      <c r="P30" s="14">
        <f t="shared" si="2"/>
        <v>818079.5999999995</v>
      </c>
      <c r="Q30" s="14">
        <f t="shared" si="3"/>
        <v>3638059.6999999997</v>
      </c>
      <c r="R30" s="14">
        <f t="shared" si="3"/>
        <v>3659125.8000000003</v>
      </c>
      <c r="S30" s="17">
        <f>SUM(S31:S34)</f>
        <v>0</v>
      </c>
      <c r="T30" s="17">
        <f>SUM(T31:T34)</f>
        <v>0</v>
      </c>
      <c r="U30" s="17">
        <f>SUM(U31:U34)</f>
        <v>0</v>
      </c>
      <c r="V30" s="17">
        <f t="shared" si="4"/>
        <v>4106966.4999999995</v>
      </c>
      <c r="W30" s="17">
        <f t="shared" si="5"/>
        <v>3638059.6999999997</v>
      </c>
      <c r="X30" s="17">
        <f t="shared" si="5"/>
        <v>3659125.8000000003</v>
      </c>
      <c r="Y30" s="14">
        <f>SUM(Y31:Y34)</f>
        <v>0</v>
      </c>
      <c r="Z30" s="14">
        <f>SUM(Z31:Z34)</f>
        <v>0</v>
      </c>
      <c r="AA30" s="14">
        <f>SUM(AA31:AA34)</f>
        <v>0</v>
      </c>
      <c r="AB30" s="17">
        <f t="shared" si="6"/>
        <v>4106966.4999999995</v>
      </c>
      <c r="AC30" s="17">
        <f t="shared" si="6"/>
        <v>3638059.6999999997</v>
      </c>
      <c r="AD30" s="17">
        <f t="shared" si="6"/>
        <v>3659125.8000000003</v>
      </c>
      <c r="AE30" s="14">
        <f>SUM(AE31:AE34)</f>
        <v>0</v>
      </c>
      <c r="AF30" s="17">
        <f t="shared" si="7"/>
        <v>4106966.4999999995</v>
      </c>
      <c r="AG30" s="17">
        <f t="shared" si="8"/>
        <v>3638059.6999999997</v>
      </c>
      <c r="AH30" s="17">
        <f t="shared" si="8"/>
        <v>3659125.8000000003</v>
      </c>
      <c r="AI30" s="14">
        <f>SUM(AI31:AI34)</f>
        <v>0</v>
      </c>
      <c r="AJ30" s="14">
        <f>SUM(AJ31:AJ34)</f>
        <v>0</v>
      </c>
      <c r="AK30" s="14">
        <f>SUM(AK31:AK34)</f>
        <v>0</v>
      </c>
      <c r="AL30" s="17">
        <f t="shared" si="9"/>
        <v>4106966.4999999995</v>
      </c>
      <c r="AM30" s="17">
        <f t="shared" si="9"/>
        <v>3638059.6999999997</v>
      </c>
      <c r="AN30" s="17">
        <f t="shared" si="9"/>
        <v>3659125.8000000003</v>
      </c>
      <c r="AO30" s="14">
        <f>SUM(AO31:AO34)</f>
        <v>0</v>
      </c>
      <c r="AP30" s="14">
        <f>SUM(AP31:AP34)</f>
        <v>0</v>
      </c>
      <c r="AQ30" s="14">
        <f>SUM(AQ31:AQ34)</f>
        <v>0</v>
      </c>
      <c r="AR30" s="14">
        <f t="shared" si="10"/>
        <v>4106966.4999999995</v>
      </c>
      <c r="AS30" s="14">
        <f t="shared" si="10"/>
        <v>3638059.6999999997</v>
      </c>
      <c r="AT30" s="14">
        <f t="shared" si="10"/>
        <v>3659125.8000000003</v>
      </c>
      <c r="AU30" s="14">
        <f>SUM(AU31:AU34)</f>
        <v>873882.8339999999</v>
      </c>
      <c r="AV30" s="14">
        <f>SUM(AV31:AV34)</f>
        <v>140382.8</v>
      </c>
      <c r="AW30" s="14">
        <f>SUM(AW31:AW34)</f>
        <v>74561</v>
      </c>
      <c r="AX30" s="14">
        <f t="shared" si="11"/>
        <v>4980849.334</v>
      </c>
      <c r="AY30" s="14">
        <f t="shared" si="11"/>
        <v>3778442.4999999995</v>
      </c>
      <c r="AZ30" s="14">
        <f t="shared" si="11"/>
        <v>3733686.8000000003</v>
      </c>
      <c r="BA30" s="14">
        <f>SUM(BA31:BA34)</f>
        <v>0</v>
      </c>
      <c r="BB30" s="14">
        <f>SUM(BB31:BB34)</f>
        <v>0</v>
      </c>
      <c r="BC30" s="14">
        <f>SUM(BC31:BC34)</f>
        <v>0</v>
      </c>
      <c r="BD30" s="14">
        <f t="shared" si="12"/>
        <v>4980849.334</v>
      </c>
      <c r="BE30" s="14">
        <f t="shared" si="12"/>
        <v>3778442.4999999995</v>
      </c>
      <c r="BF30" s="14">
        <f t="shared" si="12"/>
        <v>3733686.8000000003</v>
      </c>
      <c r="BG30" s="14">
        <f>SUM(BG31:BG34)</f>
        <v>662969.0560000001</v>
      </c>
      <c r="BH30" s="14">
        <f>SUM(BH31:BH34)</f>
        <v>0</v>
      </c>
      <c r="BI30" s="14">
        <f t="shared" si="13"/>
        <v>5643818.39</v>
      </c>
      <c r="BJ30" s="14">
        <f t="shared" si="13"/>
        <v>3778442.4999999995</v>
      </c>
      <c r="BK30" s="14">
        <f t="shared" si="14"/>
        <v>3733686.8000000003</v>
      </c>
      <c r="BL30" s="14">
        <f>SUM(BL31:BL34)</f>
        <v>0</v>
      </c>
      <c r="BM30" s="14">
        <f t="shared" si="15"/>
        <v>5643818.39</v>
      </c>
      <c r="BN30" s="14">
        <f>SUM(BN31:BN34)</f>
        <v>-36932.83900000001</v>
      </c>
      <c r="BO30" s="14">
        <f>SUM(BO31:BO34)</f>
        <v>-600.8</v>
      </c>
      <c r="BP30" s="14">
        <f>SUM(BP31:BP34)</f>
        <v>-600.8</v>
      </c>
      <c r="BQ30" s="14">
        <f t="shared" si="16"/>
        <v>5606885.551</v>
      </c>
      <c r="BR30" s="14">
        <f t="shared" si="17"/>
        <v>3777841.6999999997</v>
      </c>
      <c r="BS30" s="14">
        <f t="shared" si="17"/>
        <v>3733086.0000000005</v>
      </c>
      <c r="BT30" s="14">
        <f>SUM(BT31:BT34)</f>
        <v>481055</v>
      </c>
      <c r="BU30" s="14">
        <f t="shared" si="20"/>
        <v>6087940.551</v>
      </c>
      <c r="BV30" s="14">
        <f>SUM(BV31:BV34)</f>
        <v>0</v>
      </c>
    </row>
    <row r="31" spans="1:74" ht="15.75">
      <c r="A31" s="4" t="s">
        <v>34</v>
      </c>
      <c r="B31" s="7" t="s">
        <v>6</v>
      </c>
      <c r="C31" s="5" t="s">
        <v>36</v>
      </c>
      <c r="D31" s="6">
        <v>1047219</v>
      </c>
      <c r="E31" s="6">
        <f t="shared" si="18"/>
        <v>-57714.09999999998</v>
      </c>
      <c r="F31" s="6">
        <v>989504.9</v>
      </c>
      <c r="G31" s="6">
        <v>198923</v>
      </c>
      <c r="H31" s="6">
        <f t="shared" si="19"/>
        <v>233027.2</v>
      </c>
      <c r="I31" s="6">
        <v>431950.2</v>
      </c>
      <c r="J31" s="6">
        <v>426429.8</v>
      </c>
      <c r="K31" s="6">
        <f>139.515+410.485</f>
        <v>550</v>
      </c>
      <c r="L31" s="6"/>
      <c r="M31" s="6"/>
      <c r="N31" s="6">
        <f t="shared" si="0"/>
        <v>-57164.09999999998</v>
      </c>
      <c r="O31" s="6">
        <f t="shared" si="1"/>
        <v>990054.9</v>
      </c>
      <c r="P31" s="6">
        <f t="shared" si="2"/>
        <v>233027.2</v>
      </c>
      <c r="Q31" s="6">
        <f t="shared" si="3"/>
        <v>431950.2</v>
      </c>
      <c r="R31" s="6">
        <f t="shared" si="3"/>
        <v>426429.8</v>
      </c>
      <c r="S31" s="18"/>
      <c r="T31" s="18"/>
      <c r="U31" s="18"/>
      <c r="V31" s="18">
        <f t="shared" si="4"/>
        <v>990054.9</v>
      </c>
      <c r="W31" s="18">
        <f t="shared" si="5"/>
        <v>431950.2</v>
      </c>
      <c r="X31" s="18">
        <f t="shared" si="5"/>
        <v>426429.8</v>
      </c>
      <c r="Y31" s="6"/>
      <c r="Z31" s="6"/>
      <c r="AA31" s="6"/>
      <c r="AB31" s="18">
        <f t="shared" si="6"/>
        <v>990054.9</v>
      </c>
      <c r="AC31" s="18">
        <f t="shared" si="6"/>
        <v>431950.2</v>
      </c>
      <c r="AD31" s="18">
        <f t="shared" si="6"/>
        <v>426429.8</v>
      </c>
      <c r="AE31" s="6"/>
      <c r="AF31" s="18">
        <f t="shared" si="7"/>
        <v>990054.9</v>
      </c>
      <c r="AG31" s="18">
        <f t="shared" si="8"/>
        <v>431950.2</v>
      </c>
      <c r="AH31" s="18">
        <f t="shared" si="8"/>
        <v>426429.8</v>
      </c>
      <c r="AI31" s="6"/>
      <c r="AJ31" s="6"/>
      <c r="AK31" s="6"/>
      <c r="AL31" s="18">
        <f t="shared" si="9"/>
        <v>990054.9</v>
      </c>
      <c r="AM31" s="18">
        <f t="shared" si="9"/>
        <v>431950.2</v>
      </c>
      <c r="AN31" s="18">
        <f t="shared" si="9"/>
        <v>426429.8</v>
      </c>
      <c r="AO31" s="6"/>
      <c r="AP31" s="6"/>
      <c r="AQ31" s="6"/>
      <c r="AR31" s="6">
        <f t="shared" si="10"/>
        <v>990054.9</v>
      </c>
      <c r="AS31" s="6">
        <f t="shared" si="10"/>
        <v>431950.2</v>
      </c>
      <c r="AT31" s="6">
        <f t="shared" si="10"/>
        <v>426429.8</v>
      </c>
      <c r="AU31" s="6">
        <f>-142.9+12371.201+37.187+712.589+1535.778+94.042+418.558+3253.793+1622.841+305.993+186.706+56.177+57.942+21.224+299.7-19533.035-15620.1+75000+43754+42742.419</f>
        <v>147174.115</v>
      </c>
      <c r="AV31" s="6">
        <f>-14922.9-16650.1</f>
        <v>-31573</v>
      </c>
      <c r="AW31" s="6">
        <f>-15175.4-16814.5</f>
        <v>-31989.9</v>
      </c>
      <c r="AX31" s="6">
        <f t="shared" si="11"/>
        <v>1137229.0150000001</v>
      </c>
      <c r="AY31" s="6">
        <f t="shared" si="11"/>
        <v>400377.2</v>
      </c>
      <c r="AZ31" s="6">
        <f t="shared" si="11"/>
        <v>394439.89999999997</v>
      </c>
      <c r="BA31" s="6"/>
      <c r="BB31" s="6"/>
      <c r="BC31" s="6"/>
      <c r="BD31" s="6">
        <f t="shared" si="12"/>
        <v>1137229.0150000001</v>
      </c>
      <c r="BE31" s="6">
        <f t="shared" si="12"/>
        <v>400377.2</v>
      </c>
      <c r="BF31" s="6">
        <f t="shared" si="12"/>
        <v>394439.89999999997</v>
      </c>
      <c r="BG31" s="6">
        <f>494742.676+78226.38-20+8938.616</f>
        <v>581887.672</v>
      </c>
      <c r="BH31" s="6"/>
      <c r="BI31" s="6">
        <f t="shared" si="13"/>
        <v>1719116.6870000002</v>
      </c>
      <c r="BJ31" s="6">
        <f t="shared" si="13"/>
        <v>400377.2</v>
      </c>
      <c r="BK31" s="6">
        <f t="shared" si="14"/>
        <v>394439.89999999997</v>
      </c>
      <c r="BL31" s="6"/>
      <c r="BM31" s="6">
        <f t="shared" si="15"/>
        <v>1719116.6870000002</v>
      </c>
      <c r="BN31" s="6">
        <f>-170.79+127.431+10767.513+97.088-42742.419</f>
        <v>-31921.177000000003</v>
      </c>
      <c r="BO31" s="6"/>
      <c r="BP31" s="6"/>
      <c r="BQ31" s="6">
        <f t="shared" si="16"/>
        <v>1687195.5100000002</v>
      </c>
      <c r="BR31" s="6">
        <f t="shared" si="17"/>
        <v>400377.2</v>
      </c>
      <c r="BS31" s="6">
        <f t="shared" si="17"/>
        <v>394439.89999999997</v>
      </c>
      <c r="BT31" s="6"/>
      <c r="BU31" s="6">
        <f t="shared" si="20"/>
        <v>1687195.5100000002</v>
      </c>
      <c r="BV31" s="6"/>
    </row>
    <row r="32" spans="1:74" ht="15.75">
      <c r="A32" s="4" t="s">
        <v>34</v>
      </c>
      <c r="B32" s="7" t="s">
        <v>9</v>
      </c>
      <c r="C32" s="5" t="s">
        <v>37</v>
      </c>
      <c r="D32" s="6">
        <v>359044.6</v>
      </c>
      <c r="E32" s="6">
        <f t="shared" si="18"/>
        <v>90740.30000000005</v>
      </c>
      <c r="F32" s="6">
        <v>449784.9</v>
      </c>
      <c r="G32" s="6">
        <v>208010.5</v>
      </c>
      <c r="H32" s="6">
        <f t="shared" si="19"/>
        <v>-36591.899999999994</v>
      </c>
      <c r="I32" s="6">
        <v>171418.6</v>
      </c>
      <c r="J32" s="6">
        <v>171071.9</v>
      </c>
      <c r="K32" s="6">
        <f>-3045.9</f>
        <v>-3045.9</v>
      </c>
      <c r="L32" s="6">
        <f>-3045.9</f>
        <v>-3045.9</v>
      </c>
      <c r="M32" s="6">
        <f>-3045.9</f>
        <v>-3045.9</v>
      </c>
      <c r="N32" s="6">
        <f t="shared" si="0"/>
        <v>87694.40000000005</v>
      </c>
      <c r="O32" s="6">
        <f t="shared" si="1"/>
        <v>446739</v>
      </c>
      <c r="P32" s="6">
        <f t="shared" si="2"/>
        <v>-39637.799999999996</v>
      </c>
      <c r="Q32" s="6">
        <f t="shared" si="3"/>
        <v>168372.7</v>
      </c>
      <c r="R32" s="6">
        <f t="shared" si="3"/>
        <v>168026</v>
      </c>
      <c r="S32" s="18"/>
      <c r="T32" s="18"/>
      <c r="U32" s="18"/>
      <c r="V32" s="18">
        <f t="shared" si="4"/>
        <v>446739</v>
      </c>
      <c r="W32" s="18">
        <f t="shared" si="5"/>
        <v>168372.7</v>
      </c>
      <c r="X32" s="18">
        <f t="shared" si="5"/>
        <v>168026</v>
      </c>
      <c r="Y32" s="6"/>
      <c r="Z32" s="6"/>
      <c r="AA32" s="6"/>
      <c r="AB32" s="18">
        <f t="shared" si="6"/>
        <v>446739</v>
      </c>
      <c r="AC32" s="18">
        <f t="shared" si="6"/>
        <v>168372.7</v>
      </c>
      <c r="AD32" s="18">
        <f t="shared" si="6"/>
        <v>168026</v>
      </c>
      <c r="AE32" s="6"/>
      <c r="AF32" s="18">
        <f t="shared" si="7"/>
        <v>446739</v>
      </c>
      <c r="AG32" s="18">
        <f t="shared" si="8"/>
        <v>168372.7</v>
      </c>
      <c r="AH32" s="18">
        <f t="shared" si="8"/>
        <v>168026</v>
      </c>
      <c r="AI32" s="6"/>
      <c r="AJ32" s="6"/>
      <c r="AK32" s="6"/>
      <c r="AL32" s="18">
        <f t="shared" si="9"/>
        <v>446739</v>
      </c>
      <c r="AM32" s="18">
        <f t="shared" si="9"/>
        <v>168372.7</v>
      </c>
      <c r="AN32" s="18">
        <f t="shared" si="9"/>
        <v>168026</v>
      </c>
      <c r="AO32" s="6"/>
      <c r="AP32" s="6"/>
      <c r="AQ32" s="6"/>
      <c r="AR32" s="6">
        <f t="shared" si="10"/>
        <v>446739</v>
      </c>
      <c r="AS32" s="6">
        <f t="shared" si="10"/>
        <v>168372.7</v>
      </c>
      <c r="AT32" s="6">
        <f t="shared" si="10"/>
        <v>168026</v>
      </c>
      <c r="AU32" s="6">
        <f>455.713+586.907+113.14+6212.076+10706.14+8526.141+263.98+1036.948+44159.073-46077.487+2000+650.453+14028.346+33350.837+15000+18554.38</f>
        <v>109566.647</v>
      </c>
      <c r="AV32" s="6">
        <f>-44628</f>
        <v>-44628</v>
      </c>
      <c r="AW32" s="6">
        <f>-43535.6</f>
        <v>-43535.6</v>
      </c>
      <c r="AX32" s="6">
        <f t="shared" si="11"/>
        <v>556305.647</v>
      </c>
      <c r="AY32" s="6">
        <f t="shared" si="11"/>
        <v>123744.70000000001</v>
      </c>
      <c r="AZ32" s="6">
        <f t="shared" si="11"/>
        <v>124490.4</v>
      </c>
      <c r="BA32" s="6"/>
      <c r="BB32" s="6"/>
      <c r="BC32" s="6"/>
      <c r="BD32" s="6">
        <f t="shared" si="12"/>
        <v>556305.647</v>
      </c>
      <c r="BE32" s="6">
        <f t="shared" si="12"/>
        <v>123744.70000000001</v>
      </c>
      <c r="BF32" s="6">
        <f t="shared" si="12"/>
        <v>124490.4</v>
      </c>
      <c r="BG32" s="6">
        <f>-8938.616-61959.7</f>
        <v>-70898.31599999999</v>
      </c>
      <c r="BH32" s="6">
        <v>61959.7</v>
      </c>
      <c r="BI32" s="6">
        <f t="shared" si="13"/>
        <v>485407.331</v>
      </c>
      <c r="BJ32" s="6">
        <f t="shared" si="13"/>
        <v>185704.40000000002</v>
      </c>
      <c r="BK32" s="6">
        <f t="shared" si="14"/>
        <v>124490.4</v>
      </c>
      <c r="BL32" s="6"/>
      <c r="BM32" s="6">
        <f t="shared" si="15"/>
        <v>485407.331</v>
      </c>
      <c r="BN32" s="6">
        <f>-1240+43.359+4640.792-10767.513</f>
        <v>-7323.362000000001</v>
      </c>
      <c r="BO32" s="6"/>
      <c r="BP32" s="6"/>
      <c r="BQ32" s="6">
        <f t="shared" si="16"/>
        <v>478083.969</v>
      </c>
      <c r="BR32" s="6">
        <f t="shared" si="17"/>
        <v>185704.40000000002</v>
      </c>
      <c r="BS32" s="6">
        <f t="shared" si="17"/>
        <v>124490.4</v>
      </c>
      <c r="BT32" s="6"/>
      <c r="BU32" s="6">
        <f t="shared" si="20"/>
        <v>478083.969</v>
      </c>
      <c r="BV32" s="6"/>
    </row>
    <row r="33" spans="1:74" ht="15.75">
      <c r="A33" s="4" t="s">
        <v>34</v>
      </c>
      <c r="B33" s="7" t="s">
        <v>11</v>
      </c>
      <c r="C33" s="5" t="s">
        <v>38</v>
      </c>
      <c r="D33" s="6">
        <v>2079660</v>
      </c>
      <c r="E33" s="6">
        <f t="shared" si="18"/>
        <v>445704.2999999998</v>
      </c>
      <c r="F33" s="6">
        <f>2521364.3+4000</f>
        <v>2525364.3</v>
      </c>
      <c r="G33" s="6">
        <v>2220336.4</v>
      </c>
      <c r="H33" s="6">
        <f t="shared" si="19"/>
        <v>659102.3999999999</v>
      </c>
      <c r="I33" s="6">
        <v>2879438.8</v>
      </c>
      <c r="J33" s="6">
        <v>2901228.7</v>
      </c>
      <c r="K33" s="6">
        <f>-520</f>
        <v>-520</v>
      </c>
      <c r="L33" s="6"/>
      <c r="M33" s="6"/>
      <c r="N33" s="6">
        <f t="shared" si="0"/>
        <v>445184.2999999998</v>
      </c>
      <c r="O33" s="6">
        <f t="shared" si="1"/>
        <v>2524844.3</v>
      </c>
      <c r="P33" s="6">
        <f t="shared" si="2"/>
        <v>659102.3999999999</v>
      </c>
      <c r="Q33" s="6">
        <f t="shared" si="3"/>
        <v>2879438.8</v>
      </c>
      <c r="R33" s="6">
        <f t="shared" si="3"/>
        <v>2901228.7</v>
      </c>
      <c r="S33" s="18"/>
      <c r="T33" s="18"/>
      <c r="U33" s="18"/>
      <c r="V33" s="18">
        <f t="shared" si="4"/>
        <v>2524844.3</v>
      </c>
      <c r="W33" s="18">
        <f t="shared" si="5"/>
        <v>2879438.8</v>
      </c>
      <c r="X33" s="18">
        <f t="shared" si="5"/>
        <v>2901228.7</v>
      </c>
      <c r="Y33" s="6"/>
      <c r="Z33" s="6"/>
      <c r="AA33" s="6"/>
      <c r="AB33" s="18">
        <f t="shared" si="6"/>
        <v>2524844.3</v>
      </c>
      <c r="AC33" s="18">
        <f t="shared" si="6"/>
        <v>2879438.8</v>
      </c>
      <c r="AD33" s="18">
        <f t="shared" si="6"/>
        <v>2901228.7</v>
      </c>
      <c r="AE33" s="6"/>
      <c r="AF33" s="18">
        <f t="shared" si="7"/>
        <v>2524844.3</v>
      </c>
      <c r="AG33" s="18">
        <f t="shared" si="8"/>
        <v>2879438.8</v>
      </c>
      <c r="AH33" s="18">
        <f t="shared" si="8"/>
        <v>2901228.7</v>
      </c>
      <c r="AI33" s="6"/>
      <c r="AJ33" s="6"/>
      <c r="AK33" s="6"/>
      <c r="AL33" s="18">
        <f t="shared" si="9"/>
        <v>2524844.3</v>
      </c>
      <c r="AM33" s="18">
        <f t="shared" si="9"/>
        <v>2879438.8</v>
      </c>
      <c r="AN33" s="18">
        <f t="shared" si="9"/>
        <v>2901228.7</v>
      </c>
      <c r="AO33" s="6"/>
      <c r="AP33" s="6"/>
      <c r="AQ33" s="6"/>
      <c r="AR33" s="6">
        <f t="shared" si="10"/>
        <v>2524844.3</v>
      </c>
      <c r="AS33" s="6">
        <f t="shared" si="10"/>
        <v>2879438.8</v>
      </c>
      <c r="AT33" s="6">
        <f t="shared" si="10"/>
        <v>2901228.7</v>
      </c>
      <c r="AU33" s="6">
        <f>65000+2627.7+57449+12.641+1230+0.22+40.535+10+0.039+9.172+11182.215+5431.31+14.4+2534.623+5531.507+4673.489+8158.509+2283+2780+5249.044+959.088+6000+3000+10000+8000+164000+3000+6000+90804.768+63870.809</f>
        <v>529852.0689999999</v>
      </c>
      <c r="AV33" s="6">
        <f>73125+2627.7+64630.1</f>
        <v>140382.8</v>
      </c>
      <c r="AW33" s="6">
        <f>2627.7+71933.3</f>
        <v>74561</v>
      </c>
      <c r="AX33" s="6">
        <f t="shared" si="11"/>
        <v>3054696.369</v>
      </c>
      <c r="AY33" s="6">
        <f t="shared" si="11"/>
        <v>3019821.5999999996</v>
      </c>
      <c r="AZ33" s="6">
        <f t="shared" si="11"/>
        <v>2975789.7</v>
      </c>
      <c r="BA33" s="6"/>
      <c r="BB33" s="6"/>
      <c r="BC33" s="6"/>
      <c r="BD33" s="6">
        <f t="shared" si="12"/>
        <v>3054696.369</v>
      </c>
      <c r="BE33" s="6">
        <f t="shared" si="12"/>
        <v>3019821.5999999996</v>
      </c>
      <c r="BF33" s="6">
        <f t="shared" si="12"/>
        <v>2975789.7</v>
      </c>
      <c r="BG33" s="6">
        <f>90000+61959.7</f>
        <v>151959.7</v>
      </c>
      <c r="BH33" s="6">
        <v>-61959.7</v>
      </c>
      <c r="BI33" s="6">
        <f t="shared" si="13"/>
        <v>3206656.069</v>
      </c>
      <c r="BJ33" s="6">
        <f t="shared" si="13"/>
        <v>2957861.8999999994</v>
      </c>
      <c r="BK33" s="6">
        <f t="shared" si="14"/>
        <v>2975789.7</v>
      </c>
      <c r="BL33" s="6"/>
      <c r="BM33" s="6">
        <f t="shared" si="15"/>
        <v>3206656.069</v>
      </c>
      <c r="BN33" s="6"/>
      <c r="BO33" s="6"/>
      <c r="BP33" s="6"/>
      <c r="BQ33" s="6">
        <f t="shared" si="16"/>
        <v>3206656.069</v>
      </c>
      <c r="BR33" s="6">
        <f t="shared" si="17"/>
        <v>2957861.8999999994</v>
      </c>
      <c r="BS33" s="6">
        <f t="shared" si="17"/>
        <v>2975789.7</v>
      </c>
      <c r="BT33" s="6">
        <v>481055</v>
      </c>
      <c r="BU33" s="6">
        <f t="shared" si="20"/>
        <v>3687711.069</v>
      </c>
      <c r="BV33" s="6"/>
    </row>
    <row r="34" spans="1:74" ht="15.75">
      <c r="A34" s="4" t="s">
        <v>34</v>
      </c>
      <c r="B34" s="7" t="s">
        <v>34</v>
      </c>
      <c r="C34" s="5" t="s">
        <v>39</v>
      </c>
      <c r="D34" s="6">
        <v>178729.7</v>
      </c>
      <c r="E34" s="6">
        <f t="shared" si="18"/>
        <v>-33401.40000000002</v>
      </c>
      <c r="F34" s="6">
        <v>145328.3</v>
      </c>
      <c r="G34" s="6">
        <v>192710.2</v>
      </c>
      <c r="H34" s="6">
        <f t="shared" si="19"/>
        <v>-34412.20000000001</v>
      </c>
      <c r="I34" s="6">
        <v>158298</v>
      </c>
      <c r="J34" s="6">
        <v>163441.3</v>
      </c>
      <c r="K34" s="6"/>
      <c r="L34" s="6"/>
      <c r="M34" s="6"/>
      <c r="N34" s="6">
        <f t="shared" si="0"/>
        <v>-33401.40000000002</v>
      </c>
      <c r="O34" s="6">
        <f t="shared" si="1"/>
        <v>145328.3</v>
      </c>
      <c r="P34" s="6">
        <f t="shared" si="2"/>
        <v>-34412.20000000001</v>
      </c>
      <c r="Q34" s="6">
        <f t="shared" si="3"/>
        <v>158298</v>
      </c>
      <c r="R34" s="6">
        <f t="shared" si="3"/>
        <v>163441.3</v>
      </c>
      <c r="S34" s="18"/>
      <c r="T34" s="18"/>
      <c r="U34" s="18"/>
      <c r="V34" s="18">
        <f t="shared" si="4"/>
        <v>145328.3</v>
      </c>
      <c r="W34" s="18">
        <f t="shared" si="5"/>
        <v>158298</v>
      </c>
      <c r="X34" s="18">
        <f t="shared" si="5"/>
        <v>163441.3</v>
      </c>
      <c r="Y34" s="6"/>
      <c r="Z34" s="6"/>
      <c r="AA34" s="6"/>
      <c r="AB34" s="18">
        <f t="shared" si="6"/>
        <v>145328.3</v>
      </c>
      <c r="AC34" s="18">
        <f t="shared" si="6"/>
        <v>158298</v>
      </c>
      <c r="AD34" s="18">
        <f t="shared" si="6"/>
        <v>163441.3</v>
      </c>
      <c r="AE34" s="6"/>
      <c r="AF34" s="18">
        <f t="shared" si="7"/>
        <v>145328.3</v>
      </c>
      <c r="AG34" s="18">
        <f t="shared" si="8"/>
        <v>158298</v>
      </c>
      <c r="AH34" s="18">
        <f t="shared" si="8"/>
        <v>163441.3</v>
      </c>
      <c r="AI34" s="6"/>
      <c r="AJ34" s="6"/>
      <c r="AK34" s="6"/>
      <c r="AL34" s="18">
        <f t="shared" si="9"/>
        <v>145328.3</v>
      </c>
      <c r="AM34" s="18">
        <f t="shared" si="9"/>
        <v>158298</v>
      </c>
      <c r="AN34" s="18">
        <f t="shared" si="9"/>
        <v>163441.3</v>
      </c>
      <c r="AO34" s="6"/>
      <c r="AP34" s="6"/>
      <c r="AQ34" s="6"/>
      <c r="AR34" s="6">
        <f t="shared" si="10"/>
        <v>145328.3</v>
      </c>
      <c r="AS34" s="6">
        <f t="shared" si="10"/>
        <v>158298</v>
      </c>
      <c r="AT34" s="6">
        <f t="shared" si="10"/>
        <v>163441.3</v>
      </c>
      <c r="AU34" s="6">
        <f>154.029+40.355+830+96.615+1.756+7.626+19533.035+46077.487+15620.1+4929</f>
        <v>87290.00300000001</v>
      </c>
      <c r="AV34" s="6">
        <f>14922.9+44628+16650.1</f>
        <v>76201</v>
      </c>
      <c r="AW34" s="6">
        <f>15175.4+43535.6+16814.5</f>
        <v>75525.5</v>
      </c>
      <c r="AX34" s="6">
        <f t="shared" si="11"/>
        <v>232618.303</v>
      </c>
      <c r="AY34" s="6">
        <f t="shared" si="11"/>
        <v>234499</v>
      </c>
      <c r="AZ34" s="6">
        <f t="shared" si="11"/>
        <v>238966.8</v>
      </c>
      <c r="BA34" s="6"/>
      <c r="BB34" s="6"/>
      <c r="BC34" s="6"/>
      <c r="BD34" s="6">
        <f t="shared" si="12"/>
        <v>232618.303</v>
      </c>
      <c r="BE34" s="6">
        <f t="shared" si="12"/>
        <v>234499</v>
      </c>
      <c r="BF34" s="6">
        <f t="shared" si="12"/>
        <v>238966.8</v>
      </c>
      <c r="BG34" s="6">
        <v>20</v>
      </c>
      <c r="BH34" s="6"/>
      <c r="BI34" s="6">
        <f t="shared" si="13"/>
        <v>232638.303</v>
      </c>
      <c r="BJ34" s="6">
        <f t="shared" si="13"/>
        <v>234499</v>
      </c>
      <c r="BK34" s="6">
        <f t="shared" si="14"/>
        <v>238966.8</v>
      </c>
      <c r="BL34" s="6"/>
      <c r="BM34" s="6">
        <f t="shared" si="15"/>
        <v>232638.303</v>
      </c>
      <c r="BN34" s="6">
        <f>-188.3+2500</f>
        <v>2311.7</v>
      </c>
      <c r="BO34" s="6">
        <v>-600.8</v>
      </c>
      <c r="BP34" s="6">
        <v>-600.8</v>
      </c>
      <c r="BQ34" s="6">
        <f t="shared" si="16"/>
        <v>234950.00300000003</v>
      </c>
      <c r="BR34" s="6">
        <f t="shared" si="17"/>
        <v>233898.2</v>
      </c>
      <c r="BS34" s="6">
        <f t="shared" si="17"/>
        <v>238366</v>
      </c>
      <c r="BT34" s="6"/>
      <c r="BU34" s="6">
        <f t="shared" si="20"/>
        <v>234950.00300000003</v>
      </c>
      <c r="BV34" s="6"/>
    </row>
    <row r="35" spans="1:74" s="15" customFormat="1" ht="15.75">
      <c r="A35" s="12" t="s">
        <v>15</v>
      </c>
      <c r="B35" s="12" t="s">
        <v>7</v>
      </c>
      <c r="C35" s="13" t="s">
        <v>40</v>
      </c>
      <c r="D35" s="14">
        <f>SUM(D36:D38)</f>
        <v>37028.9</v>
      </c>
      <c r="E35" s="14">
        <f t="shared" si="18"/>
        <v>2636.0999999999985</v>
      </c>
      <c r="F35" s="14">
        <f>SUM(F36:F38)</f>
        <v>39665</v>
      </c>
      <c r="G35" s="14">
        <f>SUM(G36:G38)</f>
        <v>39033.55</v>
      </c>
      <c r="H35" s="14">
        <f t="shared" si="19"/>
        <v>-2108.550000000003</v>
      </c>
      <c r="I35" s="14">
        <f>SUM(I36:I38)</f>
        <v>36925</v>
      </c>
      <c r="J35" s="14">
        <f>SUM(J36:J38)</f>
        <v>36944</v>
      </c>
      <c r="K35" s="14">
        <f>SUM(K36:K38)</f>
        <v>0</v>
      </c>
      <c r="L35" s="14">
        <f>SUM(L36:L38)</f>
        <v>0</v>
      </c>
      <c r="M35" s="14">
        <f>SUM(M36:M38)</f>
        <v>0</v>
      </c>
      <c r="N35" s="14">
        <f t="shared" si="0"/>
        <v>2636.0999999999985</v>
      </c>
      <c r="O35" s="14">
        <f t="shared" si="1"/>
        <v>39665</v>
      </c>
      <c r="P35" s="14">
        <f t="shared" si="2"/>
        <v>-2108.550000000003</v>
      </c>
      <c r="Q35" s="14">
        <f t="shared" si="3"/>
        <v>36925</v>
      </c>
      <c r="R35" s="14">
        <f t="shared" si="3"/>
        <v>36944</v>
      </c>
      <c r="S35" s="17">
        <f>SUM(S36:S38)</f>
        <v>0</v>
      </c>
      <c r="T35" s="17">
        <f>SUM(T36:T38)</f>
        <v>0</v>
      </c>
      <c r="U35" s="17">
        <f>SUM(U36:U38)</f>
        <v>0</v>
      </c>
      <c r="V35" s="17">
        <f t="shared" si="4"/>
        <v>39665</v>
      </c>
      <c r="W35" s="17">
        <f t="shared" si="5"/>
        <v>36925</v>
      </c>
      <c r="X35" s="17">
        <f t="shared" si="5"/>
        <v>36944</v>
      </c>
      <c r="Y35" s="14">
        <f>SUM(Y36:Y38)</f>
        <v>0</v>
      </c>
      <c r="Z35" s="14">
        <f>SUM(Z36:Z38)</f>
        <v>0</v>
      </c>
      <c r="AA35" s="14">
        <f>SUM(AA36:AA38)</f>
        <v>0</v>
      </c>
      <c r="AB35" s="17">
        <f t="shared" si="6"/>
        <v>39665</v>
      </c>
      <c r="AC35" s="17">
        <f t="shared" si="6"/>
        <v>36925</v>
      </c>
      <c r="AD35" s="17">
        <f t="shared" si="6"/>
        <v>36944</v>
      </c>
      <c r="AE35" s="14">
        <f>SUM(AE36:AE38)</f>
        <v>0</v>
      </c>
      <c r="AF35" s="17">
        <f t="shared" si="7"/>
        <v>39665</v>
      </c>
      <c r="AG35" s="17">
        <f t="shared" si="8"/>
        <v>36925</v>
      </c>
      <c r="AH35" s="17">
        <f t="shared" si="8"/>
        <v>36944</v>
      </c>
      <c r="AI35" s="14">
        <f>SUM(AI36:AI38)</f>
        <v>0</v>
      </c>
      <c r="AJ35" s="14">
        <f>SUM(AJ36:AJ38)</f>
        <v>0</v>
      </c>
      <c r="AK35" s="14">
        <f>SUM(AK36:AK38)</f>
        <v>0</v>
      </c>
      <c r="AL35" s="17">
        <f t="shared" si="9"/>
        <v>39665</v>
      </c>
      <c r="AM35" s="17">
        <f t="shared" si="9"/>
        <v>36925</v>
      </c>
      <c r="AN35" s="17">
        <f t="shared" si="9"/>
        <v>36944</v>
      </c>
      <c r="AO35" s="14">
        <f>SUM(AO36:AO38)</f>
        <v>0</v>
      </c>
      <c r="AP35" s="14">
        <f>SUM(AP36:AP38)</f>
        <v>0</v>
      </c>
      <c r="AQ35" s="14">
        <f>SUM(AQ36:AQ38)</f>
        <v>0</v>
      </c>
      <c r="AR35" s="14">
        <f t="shared" si="10"/>
        <v>39665</v>
      </c>
      <c r="AS35" s="14">
        <f t="shared" si="10"/>
        <v>36925</v>
      </c>
      <c r="AT35" s="14">
        <f t="shared" si="10"/>
        <v>36944</v>
      </c>
      <c r="AU35" s="14">
        <f>SUM(AU36:AU38)</f>
        <v>1984.5710000000001</v>
      </c>
      <c r="AV35" s="14">
        <f>SUM(AV36:AV38)</f>
        <v>0</v>
      </c>
      <c r="AW35" s="14">
        <f>SUM(AW36:AW38)</f>
        <v>0</v>
      </c>
      <c r="AX35" s="14">
        <f t="shared" si="11"/>
        <v>41649.571</v>
      </c>
      <c r="AY35" s="14">
        <f t="shared" si="11"/>
        <v>36925</v>
      </c>
      <c r="AZ35" s="14">
        <f t="shared" si="11"/>
        <v>36944</v>
      </c>
      <c r="BA35" s="14">
        <f>SUM(BA36:BA38)</f>
        <v>0</v>
      </c>
      <c r="BB35" s="14">
        <f>SUM(BB36:BB38)</f>
        <v>0</v>
      </c>
      <c r="BC35" s="14">
        <f>SUM(BC36:BC38)</f>
        <v>0</v>
      </c>
      <c r="BD35" s="14">
        <f t="shared" si="12"/>
        <v>41649.571</v>
      </c>
      <c r="BE35" s="14">
        <f t="shared" si="12"/>
        <v>36925</v>
      </c>
      <c r="BF35" s="14">
        <f t="shared" si="12"/>
        <v>36944</v>
      </c>
      <c r="BG35" s="14">
        <f>SUM(BG36:BG38)</f>
        <v>0</v>
      </c>
      <c r="BH35" s="14">
        <f>SUM(BH36:BH38)</f>
        <v>0</v>
      </c>
      <c r="BI35" s="14">
        <f t="shared" si="13"/>
        <v>41649.571</v>
      </c>
      <c r="BJ35" s="14">
        <f t="shared" si="13"/>
        <v>36925</v>
      </c>
      <c r="BK35" s="14">
        <f t="shared" si="14"/>
        <v>36944</v>
      </c>
      <c r="BL35" s="14">
        <f>SUM(BL36:BL38)</f>
        <v>0</v>
      </c>
      <c r="BM35" s="14">
        <f t="shared" si="15"/>
        <v>41649.571</v>
      </c>
      <c r="BN35" s="14">
        <f>SUM(BN36:BN38)</f>
        <v>0</v>
      </c>
      <c r="BO35" s="14">
        <f>SUM(BO36:BO38)</f>
        <v>0</v>
      </c>
      <c r="BP35" s="14">
        <f>SUM(BP36:BP38)</f>
        <v>0</v>
      </c>
      <c r="BQ35" s="14">
        <f t="shared" si="16"/>
        <v>41649.571</v>
      </c>
      <c r="BR35" s="14">
        <f t="shared" si="17"/>
        <v>36925</v>
      </c>
      <c r="BS35" s="14">
        <f t="shared" si="17"/>
        <v>36944</v>
      </c>
      <c r="BT35" s="14">
        <f>SUM(BT36:BT38)</f>
        <v>0</v>
      </c>
      <c r="BU35" s="14">
        <f t="shared" si="20"/>
        <v>41649.571</v>
      </c>
      <c r="BV35" s="14">
        <f>SUM(BV36:BV38)</f>
        <v>0</v>
      </c>
    </row>
    <row r="36" spans="1:74" ht="15.75">
      <c r="A36" s="4" t="s">
        <v>15</v>
      </c>
      <c r="B36" s="7" t="s">
        <v>9</v>
      </c>
      <c r="C36" s="5" t="s">
        <v>72</v>
      </c>
      <c r="D36" s="6"/>
      <c r="E36" s="6">
        <f t="shared" si="18"/>
        <v>5000</v>
      </c>
      <c r="F36" s="6">
        <v>5000</v>
      </c>
      <c r="G36" s="6">
        <v>0</v>
      </c>
      <c r="H36" s="6">
        <f t="shared" si="19"/>
        <v>0</v>
      </c>
      <c r="I36" s="6">
        <v>0</v>
      </c>
      <c r="J36" s="6">
        <v>0</v>
      </c>
      <c r="K36" s="6"/>
      <c r="L36" s="6"/>
      <c r="M36" s="6"/>
      <c r="N36" s="6">
        <f t="shared" si="0"/>
        <v>5000</v>
      </c>
      <c r="O36" s="6">
        <f t="shared" si="1"/>
        <v>5000</v>
      </c>
      <c r="P36" s="6">
        <f t="shared" si="2"/>
        <v>0</v>
      </c>
      <c r="Q36" s="6">
        <f t="shared" si="3"/>
        <v>0</v>
      </c>
      <c r="R36" s="6">
        <f t="shared" si="3"/>
        <v>0</v>
      </c>
      <c r="S36" s="18"/>
      <c r="T36" s="18"/>
      <c r="U36" s="18"/>
      <c r="V36" s="18">
        <f t="shared" si="4"/>
        <v>5000</v>
      </c>
      <c r="W36" s="18">
        <f t="shared" si="5"/>
        <v>0</v>
      </c>
      <c r="X36" s="18">
        <f t="shared" si="5"/>
        <v>0</v>
      </c>
      <c r="Y36" s="6"/>
      <c r="Z36" s="6"/>
      <c r="AA36" s="6"/>
      <c r="AB36" s="18">
        <f t="shared" si="6"/>
        <v>5000</v>
      </c>
      <c r="AC36" s="18">
        <f t="shared" si="6"/>
        <v>0</v>
      </c>
      <c r="AD36" s="18">
        <f t="shared" si="6"/>
        <v>0</v>
      </c>
      <c r="AE36" s="6"/>
      <c r="AF36" s="18">
        <f t="shared" si="7"/>
        <v>5000</v>
      </c>
      <c r="AG36" s="18">
        <f t="shared" si="8"/>
        <v>0</v>
      </c>
      <c r="AH36" s="18">
        <f t="shared" si="8"/>
        <v>0</v>
      </c>
      <c r="AI36" s="6"/>
      <c r="AJ36" s="6"/>
      <c r="AK36" s="6"/>
      <c r="AL36" s="18">
        <f t="shared" si="9"/>
        <v>5000</v>
      </c>
      <c r="AM36" s="18">
        <f t="shared" si="9"/>
        <v>0</v>
      </c>
      <c r="AN36" s="18">
        <f t="shared" si="9"/>
        <v>0</v>
      </c>
      <c r="AO36" s="6"/>
      <c r="AP36" s="6"/>
      <c r="AQ36" s="6"/>
      <c r="AR36" s="6">
        <f t="shared" si="10"/>
        <v>5000</v>
      </c>
      <c r="AS36" s="6">
        <f t="shared" si="10"/>
        <v>0</v>
      </c>
      <c r="AT36" s="6">
        <f t="shared" si="10"/>
        <v>0</v>
      </c>
      <c r="AU36" s="6"/>
      <c r="AV36" s="6"/>
      <c r="AW36" s="6"/>
      <c r="AX36" s="6">
        <f t="shared" si="11"/>
        <v>5000</v>
      </c>
      <c r="AY36" s="6">
        <f t="shared" si="11"/>
        <v>0</v>
      </c>
      <c r="AZ36" s="6">
        <f t="shared" si="11"/>
        <v>0</v>
      </c>
      <c r="BA36" s="6"/>
      <c r="BB36" s="6"/>
      <c r="BC36" s="6"/>
      <c r="BD36" s="6">
        <f t="shared" si="12"/>
        <v>5000</v>
      </c>
      <c r="BE36" s="6">
        <f t="shared" si="12"/>
        <v>0</v>
      </c>
      <c r="BF36" s="6">
        <f t="shared" si="12"/>
        <v>0</v>
      </c>
      <c r="BG36" s="6"/>
      <c r="BH36" s="6"/>
      <c r="BI36" s="6">
        <f t="shared" si="13"/>
        <v>5000</v>
      </c>
      <c r="BJ36" s="6">
        <f t="shared" si="13"/>
        <v>0</v>
      </c>
      <c r="BK36" s="6">
        <f t="shared" si="14"/>
        <v>0</v>
      </c>
      <c r="BL36" s="6"/>
      <c r="BM36" s="6">
        <f t="shared" si="15"/>
        <v>5000</v>
      </c>
      <c r="BN36" s="6"/>
      <c r="BO36" s="6"/>
      <c r="BP36" s="6"/>
      <c r="BQ36" s="6">
        <f t="shared" si="16"/>
        <v>5000</v>
      </c>
      <c r="BR36" s="6">
        <f t="shared" si="17"/>
        <v>0</v>
      </c>
      <c r="BS36" s="6">
        <f t="shared" si="17"/>
        <v>0</v>
      </c>
      <c r="BT36" s="6"/>
      <c r="BU36" s="6">
        <f t="shared" si="20"/>
        <v>5000</v>
      </c>
      <c r="BV36" s="6"/>
    </row>
    <row r="37" spans="1:74" ht="31.5">
      <c r="A37" s="4" t="s">
        <v>15</v>
      </c>
      <c r="B37" s="7" t="s">
        <v>11</v>
      </c>
      <c r="C37" s="5" t="s">
        <v>41</v>
      </c>
      <c r="D37" s="6">
        <v>26931.2</v>
      </c>
      <c r="E37" s="6">
        <f t="shared" si="18"/>
        <v>-322.2000000000007</v>
      </c>
      <c r="F37" s="6">
        <v>26609</v>
      </c>
      <c r="G37" s="6">
        <v>28954</v>
      </c>
      <c r="H37" s="6">
        <f t="shared" si="19"/>
        <v>-564.7999999999993</v>
      </c>
      <c r="I37" s="6">
        <v>28389.2</v>
      </c>
      <c r="J37" s="6">
        <v>28389.2</v>
      </c>
      <c r="K37" s="6"/>
      <c r="L37" s="6"/>
      <c r="M37" s="6"/>
      <c r="N37" s="6">
        <f t="shared" si="0"/>
        <v>-322.2000000000007</v>
      </c>
      <c r="O37" s="6">
        <f t="shared" si="1"/>
        <v>26609</v>
      </c>
      <c r="P37" s="6">
        <f t="shared" si="2"/>
        <v>-564.7999999999993</v>
      </c>
      <c r="Q37" s="6">
        <f t="shared" si="3"/>
        <v>28389.2</v>
      </c>
      <c r="R37" s="6">
        <f t="shared" si="3"/>
        <v>28389.2</v>
      </c>
      <c r="S37" s="18"/>
      <c r="T37" s="18"/>
      <c r="U37" s="18"/>
      <c r="V37" s="18">
        <f t="shared" si="4"/>
        <v>26609</v>
      </c>
      <c r="W37" s="18">
        <f t="shared" si="5"/>
        <v>28389.2</v>
      </c>
      <c r="X37" s="18">
        <f t="shared" si="5"/>
        <v>28389.2</v>
      </c>
      <c r="Y37" s="6"/>
      <c r="Z37" s="6"/>
      <c r="AA37" s="6"/>
      <c r="AB37" s="18">
        <f t="shared" si="6"/>
        <v>26609</v>
      </c>
      <c r="AC37" s="18">
        <f t="shared" si="6"/>
        <v>28389.2</v>
      </c>
      <c r="AD37" s="18">
        <f t="shared" si="6"/>
        <v>28389.2</v>
      </c>
      <c r="AE37" s="6"/>
      <c r="AF37" s="18">
        <f t="shared" si="7"/>
        <v>26609</v>
      </c>
      <c r="AG37" s="18">
        <f t="shared" si="8"/>
        <v>28389.2</v>
      </c>
      <c r="AH37" s="18">
        <f t="shared" si="8"/>
        <v>28389.2</v>
      </c>
      <c r="AI37" s="6"/>
      <c r="AJ37" s="6"/>
      <c r="AK37" s="6"/>
      <c r="AL37" s="18">
        <f t="shared" si="9"/>
        <v>26609</v>
      </c>
      <c r="AM37" s="18">
        <f t="shared" si="9"/>
        <v>28389.2</v>
      </c>
      <c r="AN37" s="18">
        <f t="shared" si="9"/>
        <v>28389.2</v>
      </c>
      <c r="AO37" s="6"/>
      <c r="AP37" s="6"/>
      <c r="AQ37" s="6"/>
      <c r="AR37" s="6">
        <f t="shared" si="10"/>
        <v>26609</v>
      </c>
      <c r="AS37" s="6">
        <f t="shared" si="10"/>
        <v>28389.2</v>
      </c>
      <c r="AT37" s="6">
        <f t="shared" si="10"/>
        <v>28389.2</v>
      </c>
      <c r="AU37" s="6">
        <f>373.227+21.6+112.2+1427.93</f>
        <v>1934.957</v>
      </c>
      <c r="AV37" s="6"/>
      <c r="AW37" s="6"/>
      <c r="AX37" s="6">
        <f t="shared" si="11"/>
        <v>28543.957</v>
      </c>
      <c r="AY37" s="6">
        <f t="shared" si="11"/>
        <v>28389.2</v>
      </c>
      <c r="AZ37" s="6">
        <f t="shared" si="11"/>
        <v>28389.2</v>
      </c>
      <c r="BA37" s="6"/>
      <c r="BB37" s="6"/>
      <c r="BC37" s="6"/>
      <c r="BD37" s="6">
        <f t="shared" si="12"/>
        <v>28543.957</v>
      </c>
      <c r="BE37" s="6">
        <f t="shared" si="12"/>
        <v>28389.2</v>
      </c>
      <c r="BF37" s="6">
        <f t="shared" si="12"/>
        <v>28389.2</v>
      </c>
      <c r="BG37" s="6"/>
      <c r="BH37" s="6"/>
      <c r="BI37" s="6">
        <f t="shared" si="13"/>
        <v>28543.957</v>
      </c>
      <c r="BJ37" s="6">
        <f t="shared" si="13"/>
        <v>28389.2</v>
      </c>
      <c r="BK37" s="6">
        <f t="shared" si="14"/>
        <v>28389.2</v>
      </c>
      <c r="BL37" s="6"/>
      <c r="BM37" s="6">
        <f t="shared" si="15"/>
        <v>28543.957</v>
      </c>
      <c r="BN37" s="6"/>
      <c r="BO37" s="6"/>
      <c r="BP37" s="6"/>
      <c r="BQ37" s="6">
        <f t="shared" si="16"/>
        <v>28543.957</v>
      </c>
      <c r="BR37" s="6">
        <f t="shared" si="17"/>
        <v>28389.2</v>
      </c>
      <c r="BS37" s="6">
        <f t="shared" si="17"/>
        <v>28389.2</v>
      </c>
      <c r="BT37" s="6"/>
      <c r="BU37" s="6">
        <f t="shared" si="20"/>
        <v>28543.957</v>
      </c>
      <c r="BV37" s="6"/>
    </row>
    <row r="38" spans="1:74" ht="15.75">
      <c r="A38" s="4" t="s">
        <v>15</v>
      </c>
      <c r="B38" s="7" t="s">
        <v>34</v>
      </c>
      <c r="C38" s="5" t="s">
        <v>42</v>
      </c>
      <c r="D38" s="6">
        <v>10097.7</v>
      </c>
      <c r="E38" s="6">
        <f t="shared" si="18"/>
        <v>-2041.7000000000007</v>
      </c>
      <c r="F38" s="6">
        <v>8056</v>
      </c>
      <c r="G38" s="6">
        <v>10079.55</v>
      </c>
      <c r="H38" s="6">
        <f t="shared" si="19"/>
        <v>-1543.75</v>
      </c>
      <c r="I38" s="6">
        <v>8535.8</v>
      </c>
      <c r="J38" s="6">
        <v>8554.8</v>
      </c>
      <c r="K38" s="6"/>
      <c r="L38" s="6"/>
      <c r="M38" s="6"/>
      <c r="N38" s="6">
        <f t="shared" si="0"/>
        <v>-2041.7000000000007</v>
      </c>
      <c r="O38" s="6">
        <f t="shared" si="1"/>
        <v>8056</v>
      </c>
      <c r="P38" s="6">
        <f t="shared" si="2"/>
        <v>-1543.75</v>
      </c>
      <c r="Q38" s="6">
        <f t="shared" si="3"/>
        <v>8535.8</v>
      </c>
      <c r="R38" s="6">
        <f t="shared" si="3"/>
        <v>8554.8</v>
      </c>
      <c r="S38" s="18"/>
      <c r="T38" s="18"/>
      <c r="U38" s="18"/>
      <c r="V38" s="18">
        <f t="shared" si="4"/>
        <v>8056</v>
      </c>
      <c r="W38" s="18">
        <f t="shared" si="5"/>
        <v>8535.8</v>
      </c>
      <c r="X38" s="18">
        <f t="shared" si="5"/>
        <v>8554.8</v>
      </c>
      <c r="Y38" s="6"/>
      <c r="Z38" s="6"/>
      <c r="AA38" s="6"/>
      <c r="AB38" s="18">
        <f t="shared" si="6"/>
        <v>8056</v>
      </c>
      <c r="AC38" s="18">
        <f t="shared" si="6"/>
        <v>8535.8</v>
      </c>
      <c r="AD38" s="18">
        <f t="shared" si="6"/>
        <v>8554.8</v>
      </c>
      <c r="AE38" s="6"/>
      <c r="AF38" s="18">
        <f t="shared" si="7"/>
        <v>8056</v>
      </c>
      <c r="AG38" s="18">
        <f t="shared" si="8"/>
        <v>8535.8</v>
      </c>
      <c r="AH38" s="18">
        <f t="shared" si="8"/>
        <v>8554.8</v>
      </c>
      <c r="AI38" s="6"/>
      <c r="AJ38" s="6"/>
      <c r="AK38" s="6"/>
      <c r="AL38" s="18">
        <f t="shared" si="9"/>
        <v>8056</v>
      </c>
      <c r="AM38" s="18">
        <f t="shared" si="9"/>
        <v>8535.8</v>
      </c>
      <c r="AN38" s="18">
        <f t="shared" si="9"/>
        <v>8554.8</v>
      </c>
      <c r="AO38" s="6"/>
      <c r="AP38" s="6"/>
      <c r="AQ38" s="6"/>
      <c r="AR38" s="6">
        <f t="shared" si="10"/>
        <v>8056</v>
      </c>
      <c r="AS38" s="6">
        <f t="shared" si="10"/>
        <v>8535.8</v>
      </c>
      <c r="AT38" s="6">
        <f t="shared" si="10"/>
        <v>8554.8</v>
      </c>
      <c r="AU38" s="6">
        <v>49.614</v>
      </c>
      <c r="AV38" s="6"/>
      <c r="AW38" s="6"/>
      <c r="AX38" s="6">
        <f t="shared" si="11"/>
        <v>8105.614</v>
      </c>
      <c r="AY38" s="6">
        <f t="shared" si="11"/>
        <v>8535.8</v>
      </c>
      <c r="AZ38" s="6">
        <f t="shared" si="11"/>
        <v>8554.8</v>
      </c>
      <c r="BA38" s="6"/>
      <c r="BB38" s="6"/>
      <c r="BC38" s="6"/>
      <c r="BD38" s="6">
        <f t="shared" si="12"/>
        <v>8105.614</v>
      </c>
      <c r="BE38" s="6">
        <f t="shared" si="12"/>
        <v>8535.8</v>
      </c>
      <c r="BF38" s="6">
        <f t="shared" si="12"/>
        <v>8554.8</v>
      </c>
      <c r="BG38" s="6"/>
      <c r="BH38" s="6"/>
      <c r="BI38" s="6">
        <f t="shared" si="13"/>
        <v>8105.614</v>
      </c>
      <c r="BJ38" s="6">
        <f t="shared" si="13"/>
        <v>8535.8</v>
      </c>
      <c r="BK38" s="6">
        <f t="shared" si="14"/>
        <v>8554.8</v>
      </c>
      <c r="BL38" s="6"/>
      <c r="BM38" s="6">
        <f t="shared" si="15"/>
        <v>8105.614</v>
      </c>
      <c r="BN38" s="6"/>
      <c r="BO38" s="6"/>
      <c r="BP38" s="6"/>
      <c r="BQ38" s="6">
        <f t="shared" si="16"/>
        <v>8105.614</v>
      </c>
      <c r="BR38" s="6">
        <f t="shared" si="17"/>
        <v>8535.8</v>
      </c>
      <c r="BS38" s="6">
        <f t="shared" si="17"/>
        <v>8554.8</v>
      </c>
      <c r="BT38" s="6"/>
      <c r="BU38" s="6">
        <f t="shared" si="20"/>
        <v>8105.614</v>
      </c>
      <c r="BV38" s="6"/>
    </row>
    <row r="39" spans="1:74" s="15" customFormat="1" ht="15.75">
      <c r="A39" s="12" t="s">
        <v>17</v>
      </c>
      <c r="B39" s="12" t="s">
        <v>7</v>
      </c>
      <c r="C39" s="23" t="s">
        <v>43</v>
      </c>
      <c r="D39" s="14">
        <f>SUM(D40:D43)</f>
        <v>7937607.6</v>
      </c>
      <c r="E39" s="14">
        <f t="shared" si="18"/>
        <v>-1476659.2999999989</v>
      </c>
      <c r="F39" s="14">
        <f>SUM(F40:F43)</f>
        <v>6460948.300000001</v>
      </c>
      <c r="G39" s="14">
        <f>SUM(G40:G43)</f>
        <v>8990342.9</v>
      </c>
      <c r="H39" s="14">
        <f t="shared" si="19"/>
        <v>-1448430.500000001</v>
      </c>
      <c r="I39" s="14">
        <f>SUM(I40:I43)</f>
        <v>7541912.399999999</v>
      </c>
      <c r="J39" s="14">
        <f>SUM(J40:J43)</f>
        <v>7567081.1</v>
      </c>
      <c r="K39" s="14">
        <f>SUM(K40:K43)</f>
        <v>-44291.6</v>
      </c>
      <c r="L39" s="14">
        <f>SUM(L40:L43)</f>
        <v>-48002.799999999996</v>
      </c>
      <c r="M39" s="14">
        <f>SUM(M40:M43)</f>
        <v>-48624.799999999996</v>
      </c>
      <c r="N39" s="14">
        <f t="shared" si="0"/>
        <v>-1520950.899999999</v>
      </c>
      <c r="O39" s="14">
        <f t="shared" si="1"/>
        <v>6416656.700000001</v>
      </c>
      <c r="P39" s="14">
        <f t="shared" si="2"/>
        <v>-1496433.300000001</v>
      </c>
      <c r="Q39" s="14">
        <f t="shared" si="3"/>
        <v>7493909.6</v>
      </c>
      <c r="R39" s="14">
        <f t="shared" si="3"/>
        <v>7518456.3</v>
      </c>
      <c r="S39" s="17">
        <f>SUM(S40:S43)</f>
        <v>-1039.1999999999998</v>
      </c>
      <c r="T39" s="17">
        <f>SUM(T40:T43)</f>
        <v>-49.90000000000009</v>
      </c>
      <c r="U39" s="17">
        <f>SUM(U40:U43)</f>
        <v>-8.5</v>
      </c>
      <c r="V39" s="17">
        <f t="shared" si="4"/>
        <v>6415617.500000001</v>
      </c>
      <c r="W39" s="17">
        <f t="shared" si="5"/>
        <v>7493859.699999999</v>
      </c>
      <c r="X39" s="17">
        <f t="shared" si="5"/>
        <v>7518447.8</v>
      </c>
      <c r="Y39" s="14">
        <f>SUM(Y40:Y43)</f>
        <v>0</v>
      </c>
      <c r="Z39" s="14">
        <f>SUM(Z40:Z43)</f>
        <v>0</v>
      </c>
      <c r="AA39" s="14">
        <f>SUM(AA40:AA43)</f>
        <v>0</v>
      </c>
      <c r="AB39" s="17">
        <f t="shared" si="6"/>
        <v>6415617.500000001</v>
      </c>
      <c r="AC39" s="17">
        <f t="shared" si="6"/>
        <v>7493859.699999999</v>
      </c>
      <c r="AD39" s="17">
        <f t="shared" si="6"/>
        <v>7518447.8</v>
      </c>
      <c r="AE39" s="14">
        <f>SUM(AE40:AE43)</f>
        <v>0</v>
      </c>
      <c r="AF39" s="17">
        <f t="shared" si="7"/>
        <v>6415617.500000001</v>
      </c>
      <c r="AG39" s="17">
        <f t="shared" si="8"/>
        <v>7493859.699999999</v>
      </c>
      <c r="AH39" s="17">
        <f t="shared" si="8"/>
        <v>7518447.8</v>
      </c>
      <c r="AI39" s="14">
        <f>SUM(AI40:AI43)</f>
        <v>0</v>
      </c>
      <c r="AJ39" s="14">
        <f>SUM(AJ40:AJ43)</f>
        <v>0</v>
      </c>
      <c r="AK39" s="14">
        <f>SUM(AK40:AK43)</f>
        <v>0</v>
      </c>
      <c r="AL39" s="17">
        <f t="shared" si="9"/>
        <v>6415617.500000001</v>
      </c>
      <c r="AM39" s="17">
        <f t="shared" si="9"/>
        <v>7493859.699999999</v>
      </c>
      <c r="AN39" s="17">
        <f t="shared" si="9"/>
        <v>7518447.8</v>
      </c>
      <c r="AO39" s="14">
        <f>SUM(AO40:AO43)</f>
        <v>0</v>
      </c>
      <c r="AP39" s="14">
        <f>SUM(AP40:AP43)</f>
        <v>0</v>
      </c>
      <c r="AQ39" s="14">
        <f>SUM(AQ40:AQ43)</f>
        <v>0</v>
      </c>
      <c r="AR39" s="14">
        <f t="shared" si="10"/>
        <v>6415617.500000001</v>
      </c>
      <c r="AS39" s="14">
        <f t="shared" si="10"/>
        <v>7493859.699999999</v>
      </c>
      <c r="AT39" s="14">
        <f t="shared" si="10"/>
        <v>7518447.8</v>
      </c>
      <c r="AU39" s="14">
        <f>SUM(AU40:AU43)</f>
        <v>735696.1830000001</v>
      </c>
      <c r="AV39" s="14">
        <f>SUM(AV40:AV43)</f>
        <v>0</v>
      </c>
      <c r="AW39" s="14">
        <f>SUM(AW40:AW43)</f>
        <v>0</v>
      </c>
      <c r="AX39" s="14">
        <f t="shared" si="11"/>
        <v>7151313.683000001</v>
      </c>
      <c r="AY39" s="14">
        <f t="shared" si="11"/>
        <v>7493859.699999999</v>
      </c>
      <c r="AZ39" s="14">
        <f t="shared" si="11"/>
        <v>7518447.8</v>
      </c>
      <c r="BA39" s="14">
        <f>SUM(BA40:BA43)</f>
        <v>0</v>
      </c>
      <c r="BB39" s="14">
        <f>SUM(BB40:BB43)</f>
        <v>0</v>
      </c>
      <c r="BC39" s="14">
        <f>SUM(BC40:BC43)</f>
        <v>0</v>
      </c>
      <c r="BD39" s="14">
        <f t="shared" si="12"/>
        <v>7151313.683000001</v>
      </c>
      <c r="BE39" s="14">
        <f t="shared" si="12"/>
        <v>7493859.699999999</v>
      </c>
      <c r="BF39" s="14">
        <f t="shared" si="12"/>
        <v>7518447.8</v>
      </c>
      <c r="BG39" s="14">
        <f>SUM(BG40:BG43)</f>
        <v>170.44500000000698</v>
      </c>
      <c r="BH39" s="14">
        <f>SUM(BH40:BH43)</f>
        <v>0</v>
      </c>
      <c r="BI39" s="14">
        <f t="shared" si="13"/>
        <v>7151484.128000001</v>
      </c>
      <c r="BJ39" s="14">
        <f t="shared" si="13"/>
        <v>7493859.699999999</v>
      </c>
      <c r="BK39" s="14">
        <f t="shared" si="14"/>
        <v>7518447.8</v>
      </c>
      <c r="BL39" s="14">
        <f>SUM(BL40:BL43)</f>
        <v>167.65499999999156</v>
      </c>
      <c r="BM39" s="14">
        <f t="shared" si="15"/>
        <v>7151651.783000002</v>
      </c>
      <c r="BN39" s="14">
        <f>SUM(BN40:BN43)</f>
        <v>-182711.1</v>
      </c>
      <c r="BO39" s="14">
        <f>SUM(BO40:BO43)</f>
        <v>0</v>
      </c>
      <c r="BP39" s="14">
        <f>SUM(BP40:BP43)</f>
        <v>0</v>
      </c>
      <c r="BQ39" s="14">
        <f t="shared" si="16"/>
        <v>6968940.683000002</v>
      </c>
      <c r="BR39" s="14">
        <f t="shared" si="17"/>
        <v>7493859.699999999</v>
      </c>
      <c r="BS39" s="14">
        <f t="shared" si="17"/>
        <v>7518447.8</v>
      </c>
      <c r="BT39" s="14">
        <f>SUM(BT40:BT43)</f>
        <v>0</v>
      </c>
      <c r="BU39" s="14">
        <f t="shared" si="20"/>
        <v>6968940.683000002</v>
      </c>
      <c r="BV39" s="14">
        <f>SUM(BV40:BV43)</f>
        <v>0</v>
      </c>
    </row>
    <row r="40" spans="1:74" ht="15.75">
      <c r="A40" s="4" t="s">
        <v>17</v>
      </c>
      <c r="B40" s="7" t="s">
        <v>6</v>
      </c>
      <c r="C40" s="5" t="s">
        <v>44</v>
      </c>
      <c r="D40" s="6">
        <v>2935401.1</v>
      </c>
      <c r="E40" s="6">
        <f t="shared" si="18"/>
        <v>-709401.7000000002</v>
      </c>
      <c r="F40" s="6">
        <v>2225999.4</v>
      </c>
      <c r="G40" s="6">
        <v>3489473.6</v>
      </c>
      <c r="H40" s="6">
        <f t="shared" si="19"/>
        <v>-950523.2000000002</v>
      </c>
      <c r="I40" s="6">
        <v>2538950.4</v>
      </c>
      <c r="J40" s="6">
        <v>2551657.4</v>
      </c>
      <c r="K40" s="6">
        <f>-28683.9+5647.8-590-2486.1+256.8-35.3</f>
        <v>-25890.7</v>
      </c>
      <c r="L40" s="11">
        <f>-35097.4+6002.4-2486.1+256.8-33.7</f>
        <v>-31358</v>
      </c>
      <c r="M40" s="6">
        <f>-35646.8+6002.4-2486.1+256.8</f>
        <v>-31873.7</v>
      </c>
      <c r="N40" s="6">
        <f t="shared" si="0"/>
        <v>-735292.4000000001</v>
      </c>
      <c r="O40" s="6">
        <f t="shared" si="1"/>
        <v>2200108.6999999997</v>
      </c>
      <c r="P40" s="6">
        <f t="shared" si="2"/>
        <v>-981881.2000000002</v>
      </c>
      <c r="Q40" s="6">
        <f t="shared" si="3"/>
        <v>2507592.4</v>
      </c>
      <c r="R40" s="6">
        <f t="shared" si="3"/>
        <v>2519783.6999999997</v>
      </c>
      <c r="S40" s="18"/>
      <c r="T40" s="18"/>
      <c r="U40" s="18"/>
      <c r="V40" s="18">
        <f t="shared" si="4"/>
        <v>2200108.6999999997</v>
      </c>
      <c r="W40" s="18">
        <f t="shared" si="5"/>
        <v>2507592.4</v>
      </c>
      <c r="X40" s="18">
        <f t="shared" si="5"/>
        <v>2519783.6999999997</v>
      </c>
      <c r="Y40" s="6"/>
      <c r="Z40" s="6"/>
      <c r="AA40" s="6"/>
      <c r="AB40" s="18">
        <f t="shared" si="6"/>
        <v>2200108.6999999997</v>
      </c>
      <c r="AC40" s="18">
        <f t="shared" si="6"/>
        <v>2507592.4</v>
      </c>
      <c r="AD40" s="18">
        <f t="shared" si="6"/>
        <v>2519783.6999999997</v>
      </c>
      <c r="AE40" s="6"/>
      <c r="AF40" s="18">
        <f t="shared" si="7"/>
        <v>2200108.6999999997</v>
      </c>
      <c r="AG40" s="18">
        <f t="shared" si="8"/>
        <v>2507592.4</v>
      </c>
      <c r="AH40" s="18">
        <f t="shared" si="8"/>
        <v>2519783.6999999997</v>
      </c>
      <c r="AI40" s="6"/>
      <c r="AJ40" s="6"/>
      <c r="AK40" s="6"/>
      <c r="AL40" s="18">
        <f t="shared" si="9"/>
        <v>2200108.6999999997</v>
      </c>
      <c r="AM40" s="18">
        <f t="shared" si="9"/>
        <v>2507592.4</v>
      </c>
      <c r="AN40" s="18">
        <f t="shared" si="9"/>
        <v>2519783.6999999997</v>
      </c>
      <c r="AO40" s="6"/>
      <c r="AP40" s="6"/>
      <c r="AQ40" s="6"/>
      <c r="AR40" s="6">
        <f t="shared" si="10"/>
        <v>2200108.6999999997</v>
      </c>
      <c r="AS40" s="6">
        <f t="shared" si="10"/>
        <v>2507592.4</v>
      </c>
      <c r="AT40" s="6">
        <f t="shared" si="10"/>
        <v>2519783.6999999997</v>
      </c>
      <c r="AU40" s="6">
        <f>-245.9+3.377+1275.308+55.316+7074.648+4047.481+831.345+313.983+245.9-222.441+16405.344+4138.486+70000+20000+60000+539.898</f>
        <v>184462.745</v>
      </c>
      <c r="AV40" s="6"/>
      <c r="AW40" s="6"/>
      <c r="AX40" s="6">
        <f t="shared" si="11"/>
        <v>2384571.445</v>
      </c>
      <c r="AY40" s="6">
        <f t="shared" si="11"/>
        <v>2507592.4</v>
      </c>
      <c r="AZ40" s="6">
        <f t="shared" si="11"/>
        <v>2519783.6999999997</v>
      </c>
      <c r="BA40" s="6"/>
      <c r="BB40" s="6"/>
      <c r="BC40" s="6"/>
      <c r="BD40" s="6">
        <f t="shared" si="12"/>
        <v>2384571.445</v>
      </c>
      <c r="BE40" s="6">
        <f t="shared" si="12"/>
        <v>2507592.4</v>
      </c>
      <c r="BF40" s="6">
        <f t="shared" si="12"/>
        <v>2519783.6999999997</v>
      </c>
      <c r="BG40" s="6">
        <f>-4704.104+4703.037</f>
        <v>-1.0670000000000073</v>
      </c>
      <c r="BH40" s="6"/>
      <c r="BI40" s="6">
        <f t="shared" si="13"/>
        <v>2384570.378</v>
      </c>
      <c r="BJ40" s="6">
        <f t="shared" si="13"/>
        <v>2507592.4</v>
      </c>
      <c r="BK40" s="6">
        <f t="shared" si="14"/>
        <v>2519783.6999999997</v>
      </c>
      <c r="BL40" s="6"/>
      <c r="BM40" s="6">
        <f t="shared" si="15"/>
        <v>2384570.378</v>
      </c>
      <c r="BN40" s="6"/>
      <c r="BO40" s="6"/>
      <c r="BP40" s="6"/>
      <c r="BQ40" s="6">
        <f t="shared" si="16"/>
        <v>2384570.378</v>
      </c>
      <c r="BR40" s="6">
        <f t="shared" si="17"/>
        <v>2507592.4</v>
      </c>
      <c r="BS40" s="6">
        <f t="shared" si="17"/>
        <v>2519783.6999999997</v>
      </c>
      <c r="BT40" s="6"/>
      <c r="BU40" s="6">
        <f t="shared" si="20"/>
        <v>2384570.378</v>
      </c>
      <c r="BV40" s="6"/>
    </row>
    <row r="41" spans="1:74" ht="15.75">
      <c r="A41" s="4" t="s">
        <v>17</v>
      </c>
      <c r="B41" s="7" t="s">
        <v>9</v>
      </c>
      <c r="C41" s="5" t="s">
        <v>45</v>
      </c>
      <c r="D41" s="6">
        <v>4594507.5</v>
      </c>
      <c r="E41" s="6">
        <f t="shared" si="18"/>
        <v>-688491</v>
      </c>
      <c r="F41" s="6">
        <f>3906535.5-519</f>
        <v>3906016.5</v>
      </c>
      <c r="G41" s="6">
        <v>5091017.7</v>
      </c>
      <c r="H41" s="6">
        <f t="shared" si="19"/>
        <v>-362556</v>
      </c>
      <c r="I41" s="6">
        <v>4728461.7</v>
      </c>
      <c r="J41" s="6">
        <v>4731583.2</v>
      </c>
      <c r="K41" s="6">
        <f>3045.9-5166.6+556.8-6781+709.2+57-720.7-8135.7+1112.4-910+35847.1-35847.1-165.65-2105.05</f>
        <v>-18503.399999999998</v>
      </c>
      <c r="L41" s="6">
        <f>3045.9-4785.5+212.4-7143.9+709.2+57-762.8-8630.4+1112.4+37724.6-37724.6</f>
        <v>-16185.699999999997</v>
      </c>
      <c r="M41" s="6">
        <f>3045.9-4785.5+212.4-7143.9+709.2+57-762.8-8736.7+1112.4+39633.7-39633.7</f>
        <v>-16292</v>
      </c>
      <c r="N41" s="6">
        <f t="shared" si="0"/>
        <v>-706994.4</v>
      </c>
      <c r="O41" s="6">
        <f t="shared" si="1"/>
        <v>3887513.1</v>
      </c>
      <c r="P41" s="6">
        <f t="shared" si="2"/>
        <v>-378741.7</v>
      </c>
      <c r="Q41" s="6">
        <f t="shared" si="3"/>
        <v>4712276</v>
      </c>
      <c r="R41" s="6">
        <f t="shared" si="3"/>
        <v>4715291.2</v>
      </c>
      <c r="S41" s="18">
        <f>-120.2+1500.5+1774</f>
        <v>3154.3</v>
      </c>
      <c r="T41" s="18">
        <f>-173.9+1500.5</f>
        <v>1326.6</v>
      </c>
      <c r="U41" s="18">
        <f>-190.5+1500.5</f>
        <v>1310</v>
      </c>
      <c r="V41" s="18">
        <f t="shared" si="4"/>
        <v>3890667.4</v>
      </c>
      <c r="W41" s="18">
        <f t="shared" si="5"/>
        <v>4713602.6</v>
      </c>
      <c r="X41" s="18">
        <f t="shared" si="5"/>
        <v>4716601.2</v>
      </c>
      <c r="Y41" s="6"/>
      <c r="Z41" s="6"/>
      <c r="AA41" s="6"/>
      <c r="AB41" s="18">
        <f t="shared" si="6"/>
        <v>3890667.4</v>
      </c>
      <c r="AC41" s="18">
        <f t="shared" si="6"/>
        <v>4713602.6</v>
      </c>
      <c r="AD41" s="18">
        <f t="shared" si="6"/>
        <v>4716601.2</v>
      </c>
      <c r="AE41" s="6"/>
      <c r="AF41" s="18">
        <f t="shared" si="7"/>
        <v>3890667.4</v>
      </c>
      <c r="AG41" s="18">
        <f t="shared" si="8"/>
        <v>4713602.6</v>
      </c>
      <c r="AH41" s="18">
        <f t="shared" si="8"/>
        <v>4716601.2</v>
      </c>
      <c r="AI41" s="6">
        <f>2238.42+1915.82+11102.6</f>
        <v>15256.84</v>
      </c>
      <c r="AJ41" s="6">
        <f>3523.43+12255.1+12434.4</f>
        <v>28212.93</v>
      </c>
      <c r="AK41" s="6">
        <f>3692.12+13177.68+14393.8</f>
        <v>31263.6</v>
      </c>
      <c r="AL41" s="18">
        <f t="shared" si="9"/>
        <v>3905924.2399999998</v>
      </c>
      <c r="AM41" s="18">
        <f t="shared" si="9"/>
        <v>4741815.529999999</v>
      </c>
      <c r="AN41" s="18">
        <f t="shared" si="9"/>
        <v>4747864.8</v>
      </c>
      <c r="AO41" s="6">
        <v>-2238.42</v>
      </c>
      <c r="AP41" s="6">
        <v>-3523.43</v>
      </c>
      <c r="AQ41" s="6">
        <v>-3692.12</v>
      </c>
      <c r="AR41" s="6">
        <f t="shared" si="10"/>
        <v>3903685.82</v>
      </c>
      <c r="AS41" s="6">
        <f t="shared" si="10"/>
        <v>4738292.1</v>
      </c>
      <c r="AT41" s="6">
        <f t="shared" si="10"/>
        <v>4744172.68</v>
      </c>
      <c r="AU41" s="6">
        <f>-830+1135.352+7.321+998.714+11780.414+450.291+2552.825+324.772+485.818+543.411+820.921+49.671+14+12.469+8.831+2.799+354.931+11483.454+3462.019+8830.367+365.719+189.756+7.321+2712.8+422+5150.8-66655.2+50000+2000+30000+10000+100881.533+52279.64+156838.827+7562.082+25614.398+1200+0.449</f>
        <v>421058.505</v>
      </c>
      <c r="AV41" s="6"/>
      <c r="AW41" s="6"/>
      <c r="AX41" s="6">
        <f t="shared" si="11"/>
        <v>4324744.325</v>
      </c>
      <c r="AY41" s="6">
        <f t="shared" si="11"/>
        <v>4738292.1</v>
      </c>
      <c r="AZ41" s="6">
        <f t="shared" si="11"/>
        <v>4744172.68</v>
      </c>
      <c r="BA41" s="6">
        <f>-6795.888+69195.988</f>
        <v>62400.1</v>
      </c>
      <c r="BB41" s="6"/>
      <c r="BC41" s="6"/>
      <c r="BD41" s="6">
        <f t="shared" si="12"/>
        <v>4387144.425</v>
      </c>
      <c r="BE41" s="6">
        <f t="shared" si="12"/>
        <v>4738292.1</v>
      </c>
      <c r="BF41" s="6">
        <f t="shared" si="12"/>
        <v>4744172.68</v>
      </c>
      <c r="BG41" s="6">
        <f>-37.109-62400.1+2898+1052.603+6247.942+37.109</f>
        <v>-52201.55499999999</v>
      </c>
      <c r="BH41" s="6"/>
      <c r="BI41" s="6">
        <f t="shared" si="13"/>
        <v>4334942.87</v>
      </c>
      <c r="BJ41" s="6">
        <f t="shared" si="13"/>
        <v>4738292.1</v>
      </c>
      <c r="BK41" s="6">
        <f t="shared" si="14"/>
        <v>4744172.68</v>
      </c>
      <c r="BL41" s="6">
        <f>62400.1-2898-1052.603-6247.942</f>
        <v>52201.55499999999</v>
      </c>
      <c r="BM41" s="6">
        <f t="shared" si="15"/>
        <v>4387144.425</v>
      </c>
      <c r="BN41" s="6">
        <f>-188233.7+8022.6-2500</f>
        <v>-182711.1</v>
      </c>
      <c r="BO41" s="6"/>
      <c r="BP41" s="6"/>
      <c r="BQ41" s="6">
        <f t="shared" si="16"/>
        <v>4204433.325</v>
      </c>
      <c r="BR41" s="6">
        <f t="shared" si="17"/>
        <v>4738292.1</v>
      </c>
      <c r="BS41" s="6">
        <f t="shared" si="17"/>
        <v>4744172.68</v>
      </c>
      <c r="BT41" s="6">
        <v>-8022.6</v>
      </c>
      <c r="BU41" s="6">
        <f t="shared" si="20"/>
        <v>4196410.725000001</v>
      </c>
      <c r="BV41" s="6"/>
    </row>
    <row r="42" spans="1:74" ht="15.75">
      <c r="A42" s="4" t="s">
        <v>17</v>
      </c>
      <c r="B42" s="7" t="s">
        <v>17</v>
      </c>
      <c r="C42" s="5" t="s">
        <v>46</v>
      </c>
      <c r="D42" s="6">
        <v>140602.6</v>
      </c>
      <c r="E42" s="6">
        <f t="shared" si="18"/>
        <v>-44968.20000000001</v>
      </c>
      <c r="F42" s="6">
        <v>95634.4</v>
      </c>
      <c r="G42" s="6">
        <v>152234.9</v>
      </c>
      <c r="H42" s="6">
        <f t="shared" si="19"/>
        <v>-57346.59999999999</v>
      </c>
      <c r="I42" s="6">
        <v>94888.3</v>
      </c>
      <c r="J42" s="6">
        <v>103874.9</v>
      </c>
      <c r="K42" s="6"/>
      <c r="L42" s="6"/>
      <c r="M42" s="6"/>
      <c r="N42" s="6">
        <f t="shared" si="0"/>
        <v>-44968.20000000001</v>
      </c>
      <c r="O42" s="6">
        <f t="shared" si="1"/>
        <v>95634.4</v>
      </c>
      <c r="P42" s="6">
        <f t="shared" si="2"/>
        <v>-57346.59999999999</v>
      </c>
      <c r="Q42" s="6">
        <f t="shared" si="3"/>
        <v>94888.3</v>
      </c>
      <c r="R42" s="6">
        <f t="shared" si="3"/>
        <v>103874.9</v>
      </c>
      <c r="S42" s="18"/>
      <c r="T42" s="18"/>
      <c r="U42" s="18"/>
      <c r="V42" s="18">
        <f t="shared" si="4"/>
        <v>95634.4</v>
      </c>
      <c r="W42" s="18">
        <f t="shared" si="5"/>
        <v>94888.3</v>
      </c>
      <c r="X42" s="18">
        <f t="shared" si="5"/>
        <v>103874.9</v>
      </c>
      <c r="Y42" s="6"/>
      <c r="Z42" s="6"/>
      <c r="AA42" s="6"/>
      <c r="AB42" s="18">
        <f t="shared" si="6"/>
        <v>95634.4</v>
      </c>
      <c r="AC42" s="18">
        <f t="shared" si="6"/>
        <v>94888.3</v>
      </c>
      <c r="AD42" s="18">
        <f t="shared" si="6"/>
        <v>103874.9</v>
      </c>
      <c r="AE42" s="6"/>
      <c r="AF42" s="18">
        <f t="shared" si="7"/>
        <v>95634.4</v>
      </c>
      <c r="AG42" s="18">
        <f t="shared" si="8"/>
        <v>94888.3</v>
      </c>
      <c r="AH42" s="18">
        <f t="shared" si="8"/>
        <v>103874.9</v>
      </c>
      <c r="AI42" s="6"/>
      <c r="AJ42" s="6"/>
      <c r="AK42" s="6"/>
      <c r="AL42" s="18">
        <f t="shared" si="9"/>
        <v>95634.4</v>
      </c>
      <c r="AM42" s="18">
        <f t="shared" si="9"/>
        <v>94888.3</v>
      </c>
      <c r="AN42" s="18">
        <f t="shared" si="9"/>
        <v>103874.9</v>
      </c>
      <c r="AO42" s="6"/>
      <c r="AP42" s="6"/>
      <c r="AQ42" s="6"/>
      <c r="AR42" s="6">
        <f t="shared" si="10"/>
        <v>95634.4</v>
      </c>
      <c r="AS42" s="6">
        <f t="shared" si="10"/>
        <v>94888.3</v>
      </c>
      <c r="AT42" s="6">
        <f t="shared" si="10"/>
        <v>103874.9</v>
      </c>
      <c r="AU42" s="6">
        <f>34.614+143.949+10.7+1.712-2712.8+20000</f>
        <v>17478.175</v>
      </c>
      <c r="AV42" s="6"/>
      <c r="AW42" s="6"/>
      <c r="AX42" s="6">
        <f t="shared" si="11"/>
        <v>113112.575</v>
      </c>
      <c r="AY42" s="6">
        <f t="shared" si="11"/>
        <v>94888.3</v>
      </c>
      <c r="AZ42" s="6">
        <f t="shared" si="11"/>
        <v>103874.9</v>
      </c>
      <c r="BA42" s="6"/>
      <c r="BB42" s="6"/>
      <c r="BC42" s="6"/>
      <c r="BD42" s="6">
        <f t="shared" si="12"/>
        <v>113112.575</v>
      </c>
      <c r="BE42" s="6">
        <f t="shared" si="12"/>
        <v>94888.3</v>
      </c>
      <c r="BF42" s="6">
        <f t="shared" si="12"/>
        <v>103874.9</v>
      </c>
      <c r="BG42" s="6"/>
      <c r="BH42" s="6"/>
      <c r="BI42" s="6">
        <f t="shared" si="13"/>
        <v>113112.575</v>
      </c>
      <c r="BJ42" s="6">
        <f t="shared" si="13"/>
        <v>94888.3</v>
      </c>
      <c r="BK42" s="6">
        <f t="shared" si="14"/>
        <v>103874.9</v>
      </c>
      <c r="BL42" s="6"/>
      <c r="BM42" s="6">
        <f t="shared" si="15"/>
        <v>113112.575</v>
      </c>
      <c r="BN42" s="6"/>
      <c r="BO42" s="6"/>
      <c r="BP42" s="6"/>
      <c r="BQ42" s="6">
        <f t="shared" si="16"/>
        <v>113112.575</v>
      </c>
      <c r="BR42" s="6">
        <f t="shared" si="17"/>
        <v>94888.3</v>
      </c>
      <c r="BS42" s="6">
        <f t="shared" si="17"/>
        <v>103874.9</v>
      </c>
      <c r="BT42" s="6"/>
      <c r="BU42" s="6">
        <f t="shared" si="20"/>
        <v>113112.575</v>
      </c>
      <c r="BV42" s="6"/>
    </row>
    <row r="43" spans="1:74" ht="15.75">
      <c r="A43" s="4" t="s">
        <v>17</v>
      </c>
      <c r="B43" s="7" t="s">
        <v>26</v>
      </c>
      <c r="C43" s="5" t="s">
        <v>47</v>
      </c>
      <c r="D43" s="6">
        <v>267096.4</v>
      </c>
      <c r="E43" s="6">
        <f t="shared" si="18"/>
        <v>-33798.40000000002</v>
      </c>
      <c r="F43" s="6">
        <v>233298</v>
      </c>
      <c r="G43" s="6">
        <v>257616.7</v>
      </c>
      <c r="H43" s="6">
        <f t="shared" si="19"/>
        <v>-78004.70000000001</v>
      </c>
      <c r="I43" s="6">
        <v>179612</v>
      </c>
      <c r="J43" s="6">
        <v>179965.6</v>
      </c>
      <c r="K43" s="6">
        <f>590-450.9+19.2-36+910-264+80+264-410-599.8</f>
        <v>102.5</v>
      </c>
      <c r="L43" s="6">
        <f>-478.3+19.2</f>
        <v>-459.1</v>
      </c>
      <c r="M43" s="6">
        <f>-478.3+19.2</f>
        <v>-459.1</v>
      </c>
      <c r="N43" s="6">
        <f t="shared" si="0"/>
        <v>-33695.90000000002</v>
      </c>
      <c r="O43" s="6">
        <f t="shared" si="1"/>
        <v>233400.5</v>
      </c>
      <c r="P43" s="6">
        <f t="shared" si="2"/>
        <v>-78463.80000000002</v>
      </c>
      <c r="Q43" s="6">
        <f t="shared" si="3"/>
        <v>179152.9</v>
      </c>
      <c r="R43" s="6">
        <f t="shared" si="3"/>
        <v>179506.5</v>
      </c>
      <c r="S43" s="18">
        <f>82766-3274.5-1000-82685</f>
        <v>-4193.5</v>
      </c>
      <c r="T43" s="18">
        <f>93151-1500.5-93027</f>
        <v>-1376.5</v>
      </c>
      <c r="U43" s="18">
        <f>103718-1500.5-103536</f>
        <v>-1318.5</v>
      </c>
      <c r="V43" s="18">
        <f t="shared" si="4"/>
        <v>229207</v>
      </c>
      <c r="W43" s="18">
        <f t="shared" si="5"/>
        <v>177776.4</v>
      </c>
      <c r="X43" s="18">
        <f t="shared" si="5"/>
        <v>178188</v>
      </c>
      <c r="Y43" s="6"/>
      <c r="Z43" s="6"/>
      <c r="AA43" s="6"/>
      <c r="AB43" s="18">
        <f t="shared" si="6"/>
        <v>229207</v>
      </c>
      <c r="AC43" s="18">
        <f t="shared" si="6"/>
        <v>177776.4</v>
      </c>
      <c r="AD43" s="18">
        <f t="shared" si="6"/>
        <v>178188</v>
      </c>
      <c r="AE43" s="6"/>
      <c r="AF43" s="18">
        <f t="shared" si="7"/>
        <v>229207</v>
      </c>
      <c r="AG43" s="18">
        <f t="shared" si="8"/>
        <v>177776.4</v>
      </c>
      <c r="AH43" s="18">
        <f t="shared" si="8"/>
        <v>178188</v>
      </c>
      <c r="AI43" s="6">
        <f>-2238.42-1551.34-364.48-11102.6</f>
        <v>-15256.84</v>
      </c>
      <c r="AJ43" s="6">
        <f>-3523.43-12255.1-12434.4</f>
        <v>-28212.93</v>
      </c>
      <c r="AK43" s="6">
        <f>-3692.12-13177.68-14393.8</f>
        <v>-31263.6</v>
      </c>
      <c r="AL43" s="18">
        <f t="shared" si="9"/>
        <v>213950.16</v>
      </c>
      <c r="AM43" s="18">
        <f t="shared" si="9"/>
        <v>149563.47</v>
      </c>
      <c r="AN43" s="18">
        <f t="shared" si="9"/>
        <v>146924.4</v>
      </c>
      <c r="AO43" s="6">
        <v>2238.42</v>
      </c>
      <c r="AP43" s="6">
        <v>3523.43</v>
      </c>
      <c r="AQ43" s="6">
        <v>3692.12</v>
      </c>
      <c r="AR43" s="6">
        <f t="shared" si="10"/>
        <v>216188.58000000002</v>
      </c>
      <c r="AS43" s="6">
        <f t="shared" si="10"/>
        <v>153086.9</v>
      </c>
      <c r="AT43" s="6">
        <f t="shared" si="10"/>
        <v>150616.52</v>
      </c>
      <c r="AU43" s="6">
        <f>43.142+0.002+0.12+1225.886+30.023+7.457+13.532+1.1+45.996+62400.1+48929.4</f>
        <v>112696.758</v>
      </c>
      <c r="AV43" s="6"/>
      <c r="AW43" s="6"/>
      <c r="AX43" s="6">
        <f t="shared" si="11"/>
        <v>328885.338</v>
      </c>
      <c r="AY43" s="6">
        <f t="shared" si="11"/>
        <v>153086.9</v>
      </c>
      <c r="AZ43" s="6">
        <f t="shared" si="11"/>
        <v>150616.52</v>
      </c>
      <c r="BA43" s="6">
        <v>-62400.1</v>
      </c>
      <c r="BB43" s="6"/>
      <c r="BC43" s="6"/>
      <c r="BD43" s="6">
        <f t="shared" si="12"/>
        <v>266485.238</v>
      </c>
      <c r="BE43" s="6">
        <f t="shared" si="12"/>
        <v>153086.9</v>
      </c>
      <c r="BF43" s="6">
        <f t="shared" si="12"/>
        <v>150616.52</v>
      </c>
      <c r="BG43" s="6">
        <f>-161.9+500+34380.5+17653.4+1.067</f>
        <v>52373.067</v>
      </c>
      <c r="BH43" s="6"/>
      <c r="BI43" s="6">
        <f t="shared" si="13"/>
        <v>318858.305</v>
      </c>
      <c r="BJ43" s="6">
        <f t="shared" si="13"/>
        <v>153086.9</v>
      </c>
      <c r="BK43" s="6">
        <f t="shared" si="14"/>
        <v>150616.52</v>
      </c>
      <c r="BL43" s="6">
        <f>-34380.5-17653.4</f>
        <v>-52033.9</v>
      </c>
      <c r="BM43" s="6">
        <f t="shared" si="15"/>
        <v>266824.40499999997</v>
      </c>
      <c r="BN43" s="6"/>
      <c r="BO43" s="6"/>
      <c r="BP43" s="6"/>
      <c r="BQ43" s="6">
        <f t="shared" si="16"/>
        <v>266824.40499999997</v>
      </c>
      <c r="BR43" s="6">
        <f t="shared" si="17"/>
        <v>153086.9</v>
      </c>
      <c r="BS43" s="6">
        <f t="shared" si="17"/>
        <v>150616.52</v>
      </c>
      <c r="BT43" s="6">
        <v>8022.6</v>
      </c>
      <c r="BU43" s="6">
        <f t="shared" si="20"/>
        <v>274847.00499999995</v>
      </c>
      <c r="BV43" s="6"/>
    </row>
    <row r="44" spans="1:74" s="15" customFormat="1" ht="15.75">
      <c r="A44" s="12" t="s">
        <v>31</v>
      </c>
      <c r="B44" s="12" t="s">
        <v>7</v>
      </c>
      <c r="C44" s="13" t="s">
        <v>48</v>
      </c>
      <c r="D44" s="14">
        <f>SUM(D45:D46)</f>
        <v>581622.8999999999</v>
      </c>
      <c r="E44" s="14">
        <f t="shared" si="18"/>
        <v>46448.90000000014</v>
      </c>
      <c r="F44" s="14">
        <f>SUM(F45:F46)</f>
        <v>628071.8</v>
      </c>
      <c r="G44" s="14">
        <f>SUM(G45:G46)</f>
        <v>585789.8999999999</v>
      </c>
      <c r="H44" s="14">
        <f t="shared" si="19"/>
        <v>-130990.79999999993</v>
      </c>
      <c r="I44" s="14">
        <f>SUM(I45:I46)</f>
        <v>454799.1</v>
      </c>
      <c r="J44" s="14">
        <f>SUM(J45:J46)</f>
        <v>432729.8</v>
      </c>
      <c r="K44" s="14">
        <f>SUM(K45:K46)</f>
        <v>-279.15</v>
      </c>
      <c r="L44" s="14">
        <f>SUM(L45:L46)</f>
        <v>0</v>
      </c>
      <c r="M44" s="14">
        <f>SUM(M45:M46)</f>
        <v>0</v>
      </c>
      <c r="N44" s="14">
        <f t="shared" si="0"/>
        <v>46169.75000000014</v>
      </c>
      <c r="O44" s="14">
        <f t="shared" si="1"/>
        <v>627792.65</v>
      </c>
      <c r="P44" s="14">
        <f t="shared" si="2"/>
        <v>-130990.79999999993</v>
      </c>
      <c r="Q44" s="14">
        <f t="shared" si="3"/>
        <v>454799.1</v>
      </c>
      <c r="R44" s="14">
        <f t="shared" si="3"/>
        <v>432729.8</v>
      </c>
      <c r="S44" s="17">
        <f>SUM(S45:S46)</f>
        <v>1264.4</v>
      </c>
      <c r="T44" s="17">
        <f>SUM(T45:T46)</f>
        <v>0</v>
      </c>
      <c r="U44" s="17">
        <f>SUM(U45:U46)</f>
        <v>0</v>
      </c>
      <c r="V44" s="17">
        <f t="shared" si="4"/>
        <v>629057.05</v>
      </c>
      <c r="W44" s="17">
        <f t="shared" si="5"/>
        <v>454799.1</v>
      </c>
      <c r="X44" s="17">
        <f t="shared" si="5"/>
        <v>432729.8</v>
      </c>
      <c r="Y44" s="14">
        <f>SUM(Y45:Y46)</f>
        <v>-1250</v>
      </c>
      <c r="Z44" s="14">
        <f>SUM(Z45:Z46)</f>
        <v>0</v>
      </c>
      <c r="AA44" s="14">
        <f>SUM(AA45:AA46)</f>
        <v>0</v>
      </c>
      <c r="AB44" s="17">
        <f t="shared" si="6"/>
        <v>627807.05</v>
      </c>
      <c r="AC44" s="17">
        <f t="shared" si="6"/>
        <v>454799.1</v>
      </c>
      <c r="AD44" s="17">
        <f t="shared" si="6"/>
        <v>432729.8</v>
      </c>
      <c r="AE44" s="14">
        <f>SUM(AE45:AE46)</f>
        <v>-1250</v>
      </c>
      <c r="AF44" s="17">
        <f t="shared" si="7"/>
        <v>626557.05</v>
      </c>
      <c r="AG44" s="17">
        <f t="shared" si="8"/>
        <v>454799.1</v>
      </c>
      <c r="AH44" s="17">
        <f t="shared" si="8"/>
        <v>432729.8</v>
      </c>
      <c r="AI44" s="14">
        <f>SUM(AI45:AI46)</f>
        <v>1119.2</v>
      </c>
      <c r="AJ44" s="14">
        <f>SUM(AJ45:AJ46)</f>
        <v>1118</v>
      </c>
      <c r="AK44" s="14">
        <f>SUM(AK45:AK46)</f>
        <v>1118</v>
      </c>
      <c r="AL44" s="17">
        <f t="shared" si="9"/>
        <v>627676.25</v>
      </c>
      <c r="AM44" s="17">
        <f t="shared" si="9"/>
        <v>455917.1</v>
      </c>
      <c r="AN44" s="17">
        <f t="shared" si="9"/>
        <v>433847.8</v>
      </c>
      <c r="AO44" s="14">
        <f>SUM(AO45:AO46)</f>
        <v>0</v>
      </c>
      <c r="AP44" s="14">
        <f>SUM(AP45:AP46)</f>
        <v>0</v>
      </c>
      <c r="AQ44" s="14">
        <f>SUM(AQ45:AQ46)</f>
        <v>0</v>
      </c>
      <c r="AR44" s="14">
        <f t="shared" si="10"/>
        <v>627676.25</v>
      </c>
      <c r="AS44" s="14">
        <f t="shared" si="10"/>
        <v>455917.1</v>
      </c>
      <c r="AT44" s="14">
        <f t="shared" si="10"/>
        <v>433847.8</v>
      </c>
      <c r="AU44" s="14">
        <f>SUM(AU45:AU46)</f>
        <v>112997.58200000001</v>
      </c>
      <c r="AV44" s="14">
        <f>SUM(AV45:AV46)</f>
        <v>0</v>
      </c>
      <c r="AW44" s="14">
        <f>SUM(AW45:AW46)</f>
        <v>0</v>
      </c>
      <c r="AX44" s="14">
        <f t="shared" si="11"/>
        <v>740673.832</v>
      </c>
      <c r="AY44" s="14">
        <f t="shared" si="11"/>
        <v>455917.1</v>
      </c>
      <c r="AZ44" s="14">
        <f t="shared" si="11"/>
        <v>433847.8</v>
      </c>
      <c r="BA44" s="14">
        <f>SUM(BA45:BA46)</f>
        <v>0</v>
      </c>
      <c r="BB44" s="14">
        <f>SUM(BB45:BB46)</f>
        <v>0</v>
      </c>
      <c r="BC44" s="14">
        <f>SUM(BC45:BC46)</f>
        <v>0</v>
      </c>
      <c r="BD44" s="14">
        <f t="shared" si="12"/>
        <v>740673.832</v>
      </c>
      <c r="BE44" s="14">
        <f t="shared" si="12"/>
        <v>455917.1</v>
      </c>
      <c r="BF44" s="14">
        <f t="shared" si="12"/>
        <v>433847.8</v>
      </c>
      <c r="BG44" s="14">
        <f>SUM(BG45:BG46)</f>
        <v>0</v>
      </c>
      <c r="BH44" s="14">
        <f>SUM(BH45:BH46)</f>
        <v>0</v>
      </c>
      <c r="BI44" s="14">
        <f t="shared" si="13"/>
        <v>740673.832</v>
      </c>
      <c r="BJ44" s="14">
        <f t="shared" si="13"/>
        <v>455917.1</v>
      </c>
      <c r="BK44" s="14">
        <f t="shared" si="14"/>
        <v>433847.8</v>
      </c>
      <c r="BL44" s="14">
        <f>SUM(BL45:BL46)</f>
        <v>0</v>
      </c>
      <c r="BM44" s="14">
        <f t="shared" si="15"/>
        <v>740673.832</v>
      </c>
      <c r="BN44" s="14">
        <f>SUM(BN45:BN46)</f>
        <v>48346.55</v>
      </c>
      <c r="BO44" s="14">
        <f>SUM(BO45:BO46)</f>
        <v>0</v>
      </c>
      <c r="BP44" s="14">
        <f>SUM(BP45:BP46)</f>
        <v>0</v>
      </c>
      <c r="BQ44" s="14">
        <f t="shared" si="16"/>
        <v>789020.3820000001</v>
      </c>
      <c r="BR44" s="14">
        <f t="shared" si="17"/>
        <v>455917.1</v>
      </c>
      <c r="BS44" s="14">
        <f t="shared" si="17"/>
        <v>433847.8</v>
      </c>
      <c r="BT44" s="14">
        <f>SUM(BT45:BT46)</f>
        <v>0</v>
      </c>
      <c r="BU44" s="14">
        <f t="shared" si="20"/>
        <v>789020.3820000001</v>
      </c>
      <c r="BV44" s="14">
        <f>SUM(BV45:BV46)</f>
        <v>0</v>
      </c>
    </row>
    <row r="45" spans="1:74" ht="15.75">
      <c r="A45" s="4" t="s">
        <v>31</v>
      </c>
      <c r="B45" s="7" t="s">
        <v>6</v>
      </c>
      <c r="C45" s="5" t="s">
        <v>49</v>
      </c>
      <c r="D45" s="6">
        <v>565171.2</v>
      </c>
      <c r="E45" s="6">
        <f t="shared" si="18"/>
        <v>47990.60000000009</v>
      </c>
      <c r="F45" s="6">
        <f>617161.8-4000</f>
        <v>613161.8</v>
      </c>
      <c r="G45" s="6">
        <v>575621.7</v>
      </c>
      <c r="H45" s="6">
        <f t="shared" si="19"/>
        <v>-130608.09999999998</v>
      </c>
      <c r="I45" s="6">
        <v>445013.6</v>
      </c>
      <c r="J45" s="6">
        <v>423019.3</v>
      </c>
      <c r="K45" s="6">
        <f>-224.15</f>
        <v>-224.15</v>
      </c>
      <c r="L45" s="6"/>
      <c r="M45" s="6"/>
      <c r="N45" s="6">
        <f t="shared" si="0"/>
        <v>47766.45000000009</v>
      </c>
      <c r="O45" s="6">
        <f t="shared" si="1"/>
        <v>612937.65</v>
      </c>
      <c r="P45" s="6">
        <f t="shared" si="2"/>
        <v>-130608.09999999998</v>
      </c>
      <c r="Q45" s="6">
        <f t="shared" si="3"/>
        <v>445013.6</v>
      </c>
      <c r="R45" s="6">
        <f t="shared" si="3"/>
        <v>423019.3</v>
      </c>
      <c r="S45" s="18">
        <f>1264.4</f>
        <v>1264.4</v>
      </c>
      <c r="T45" s="18"/>
      <c r="U45" s="18"/>
      <c r="V45" s="18">
        <f t="shared" si="4"/>
        <v>614202.05</v>
      </c>
      <c r="W45" s="18">
        <f t="shared" si="5"/>
        <v>445013.6</v>
      </c>
      <c r="X45" s="18">
        <f t="shared" si="5"/>
        <v>423019.3</v>
      </c>
      <c r="Y45" s="6">
        <f>-1250</f>
        <v>-1250</v>
      </c>
      <c r="Z45" s="6"/>
      <c r="AA45" s="6"/>
      <c r="AB45" s="18">
        <f t="shared" si="6"/>
        <v>612952.05</v>
      </c>
      <c r="AC45" s="18">
        <f t="shared" si="6"/>
        <v>445013.6</v>
      </c>
      <c r="AD45" s="18">
        <f t="shared" si="6"/>
        <v>423019.3</v>
      </c>
      <c r="AE45" s="6">
        <f>-90000-35000-1250+90000+35000</f>
        <v>-1250</v>
      </c>
      <c r="AF45" s="18">
        <f t="shared" si="7"/>
        <v>611702.05</v>
      </c>
      <c r="AG45" s="18">
        <f t="shared" si="8"/>
        <v>445013.6</v>
      </c>
      <c r="AH45" s="18">
        <f t="shared" si="8"/>
        <v>423019.3</v>
      </c>
      <c r="AI45" s="6">
        <v>1119.2</v>
      </c>
      <c r="AJ45" s="6">
        <v>1118</v>
      </c>
      <c r="AK45" s="6">
        <v>1118</v>
      </c>
      <c r="AL45" s="18">
        <f t="shared" si="9"/>
        <v>612821.25</v>
      </c>
      <c r="AM45" s="18">
        <f t="shared" si="9"/>
        <v>446131.6</v>
      </c>
      <c r="AN45" s="18">
        <f t="shared" si="9"/>
        <v>424137.3</v>
      </c>
      <c r="AO45" s="6"/>
      <c r="AP45" s="6"/>
      <c r="AQ45" s="6"/>
      <c r="AR45" s="6">
        <f t="shared" si="10"/>
        <v>612821.25</v>
      </c>
      <c r="AS45" s="6">
        <f t="shared" si="10"/>
        <v>446131.6</v>
      </c>
      <c r="AT45" s="6">
        <f t="shared" si="10"/>
        <v>424137.3</v>
      </c>
      <c r="AU45" s="6">
        <f>-61.085-35.53+130.346+28.163+904.511+3042.675+39.693+3950.972+41.728+81.715+6.787+104849.2</f>
        <v>112979.175</v>
      </c>
      <c r="AV45" s="6"/>
      <c r="AW45" s="6"/>
      <c r="AX45" s="6">
        <f t="shared" si="11"/>
        <v>725800.425</v>
      </c>
      <c r="AY45" s="6">
        <f t="shared" si="11"/>
        <v>446131.6</v>
      </c>
      <c r="AZ45" s="6">
        <f t="shared" si="11"/>
        <v>424137.3</v>
      </c>
      <c r="BA45" s="6"/>
      <c r="BB45" s="6"/>
      <c r="BC45" s="6"/>
      <c r="BD45" s="6">
        <f t="shared" si="12"/>
        <v>725800.425</v>
      </c>
      <c r="BE45" s="6">
        <f t="shared" si="12"/>
        <v>446131.6</v>
      </c>
      <c r="BF45" s="6">
        <f t="shared" si="12"/>
        <v>424137.3</v>
      </c>
      <c r="BG45" s="6"/>
      <c r="BH45" s="6"/>
      <c r="BI45" s="6">
        <f t="shared" si="13"/>
        <v>725800.425</v>
      </c>
      <c r="BJ45" s="6">
        <f t="shared" si="13"/>
        <v>446131.6</v>
      </c>
      <c r="BK45" s="6">
        <f t="shared" si="14"/>
        <v>424137.3</v>
      </c>
      <c r="BL45" s="6"/>
      <c r="BM45" s="6">
        <f t="shared" si="15"/>
        <v>725800.425</v>
      </c>
      <c r="BN45" s="6">
        <f>4500+43846.55</f>
        <v>48346.55</v>
      </c>
      <c r="BO45" s="6"/>
      <c r="BP45" s="6"/>
      <c r="BQ45" s="6">
        <f t="shared" si="16"/>
        <v>774146.9750000001</v>
      </c>
      <c r="BR45" s="6">
        <f t="shared" si="17"/>
        <v>446131.6</v>
      </c>
      <c r="BS45" s="6">
        <f t="shared" si="17"/>
        <v>424137.3</v>
      </c>
      <c r="BT45" s="6"/>
      <c r="BU45" s="6">
        <f t="shared" si="20"/>
        <v>774146.9750000001</v>
      </c>
      <c r="BV45" s="6"/>
    </row>
    <row r="46" spans="1:74" ht="31.5">
      <c r="A46" s="4" t="s">
        <v>31</v>
      </c>
      <c r="B46" s="7" t="s">
        <v>15</v>
      </c>
      <c r="C46" s="5" t="s">
        <v>69</v>
      </c>
      <c r="D46" s="6">
        <v>16451.7</v>
      </c>
      <c r="E46" s="6">
        <f t="shared" si="18"/>
        <v>-1541.7000000000007</v>
      </c>
      <c r="F46" s="6">
        <v>14910</v>
      </c>
      <c r="G46" s="6">
        <v>10168.2</v>
      </c>
      <c r="H46" s="6">
        <f t="shared" si="19"/>
        <v>-382.7000000000007</v>
      </c>
      <c r="I46" s="6">
        <v>9785.5</v>
      </c>
      <c r="J46" s="6">
        <v>9710.5</v>
      </c>
      <c r="K46" s="6">
        <f>510+375-940</f>
        <v>-55</v>
      </c>
      <c r="L46" s="6"/>
      <c r="M46" s="6"/>
      <c r="N46" s="6">
        <f t="shared" si="0"/>
        <v>-1596.7000000000007</v>
      </c>
      <c r="O46" s="6">
        <f t="shared" si="1"/>
        <v>14855</v>
      </c>
      <c r="P46" s="6">
        <f t="shared" si="2"/>
        <v>-382.7000000000007</v>
      </c>
      <c r="Q46" s="6">
        <f t="shared" si="3"/>
        <v>9785.5</v>
      </c>
      <c r="R46" s="6">
        <f t="shared" si="3"/>
        <v>9710.5</v>
      </c>
      <c r="S46" s="18"/>
      <c r="T46" s="18"/>
      <c r="U46" s="18"/>
      <c r="V46" s="18">
        <f t="shared" si="4"/>
        <v>14855</v>
      </c>
      <c r="W46" s="18">
        <f t="shared" si="5"/>
        <v>9785.5</v>
      </c>
      <c r="X46" s="18">
        <f t="shared" si="5"/>
        <v>9710.5</v>
      </c>
      <c r="Y46" s="6"/>
      <c r="Z46" s="6"/>
      <c r="AA46" s="6"/>
      <c r="AB46" s="18">
        <f t="shared" si="6"/>
        <v>14855</v>
      </c>
      <c r="AC46" s="18">
        <f t="shared" si="6"/>
        <v>9785.5</v>
      </c>
      <c r="AD46" s="18">
        <f t="shared" si="6"/>
        <v>9710.5</v>
      </c>
      <c r="AE46" s="6"/>
      <c r="AF46" s="18">
        <f t="shared" si="7"/>
        <v>14855</v>
      </c>
      <c r="AG46" s="18">
        <f t="shared" si="8"/>
        <v>9785.5</v>
      </c>
      <c r="AH46" s="18">
        <f t="shared" si="8"/>
        <v>9710.5</v>
      </c>
      <c r="AI46" s="6"/>
      <c r="AJ46" s="6"/>
      <c r="AK46" s="6"/>
      <c r="AL46" s="18">
        <f t="shared" si="9"/>
        <v>14855</v>
      </c>
      <c r="AM46" s="18">
        <f t="shared" si="9"/>
        <v>9785.5</v>
      </c>
      <c r="AN46" s="18">
        <f t="shared" si="9"/>
        <v>9710.5</v>
      </c>
      <c r="AO46" s="6"/>
      <c r="AP46" s="6"/>
      <c r="AQ46" s="6"/>
      <c r="AR46" s="6">
        <f t="shared" si="10"/>
        <v>14855</v>
      </c>
      <c r="AS46" s="6">
        <f t="shared" si="10"/>
        <v>9785.5</v>
      </c>
      <c r="AT46" s="6">
        <f t="shared" si="10"/>
        <v>9710.5</v>
      </c>
      <c r="AU46" s="6">
        <f>0.309+0.175+17.6+0.313+0.01</f>
        <v>18.407000000000004</v>
      </c>
      <c r="AV46" s="6"/>
      <c r="AW46" s="6"/>
      <c r="AX46" s="6">
        <f t="shared" si="11"/>
        <v>14873.407</v>
      </c>
      <c r="AY46" s="6">
        <f t="shared" si="11"/>
        <v>9785.5</v>
      </c>
      <c r="AZ46" s="6">
        <f t="shared" si="11"/>
        <v>9710.5</v>
      </c>
      <c r="BA46" s="6"/>
      <c r="BB46" s="6"/>
      <c r="BC46" s="6"/>
      <c r="BD46" s="6">
        <f t="shared" si="12"/>
        <v>14873.407</v>
      </c>
      <c r="BE46" s="6">
        <f t="shared" si="12"/>
        <v>9785.5</v>
      </c>
      <c r="BF46" s="6">
        <f t="shared" si="12"/>
        <v>9710.5</v>
      </c>
      <c r="BG46" s="6"/>
      <c r="BH46" s="6"/>
      <c r="BI46" s="6">
        <f t="shared" si="13"/>
        <v>14873.407</v>
      </c>
      <c r="BJ46" s="6">
        <f t="shared" si="13"/>
        <v>9785.5</v>
      </c>
      <c r="BK46" s="6">
        <f t="shared" si="14"/>
        <v>9710.5</v>
      </c>
      <c r="BL46" s="6"/>
      <c r="BM46" s="6">
        <f t="shared" si="15"/>
        <v>14873.407</v>
      </c>
      <c r="BN46" s="6"/>
      <c r="BO46" s="6"/>
      <c r="BP46" s="6"/>
      <c r="BQ46" s="6">
        <f t="shared" si="16"/>
        <v>14873.407</v>
      </c>
      <c r="BR46" s="6">
        <f t="shared" si="17"/>
        <v>9785.5</v>
      </c>
      <c r="BS46" s="6">
        <f t="shared" si="17"/>
        <v>9710.5</v>
      </c>
      <c r="BT46" s="6"/>
      <c r="BU46" s="6">
        <f t="shared" si="20"/>
        <v>14873.407</v>
      </c>
      <c r="BV46" s="6"/>
    </row>
    <row r="47" spans="1:74" s="15" customFormat="1" ht="15.75">
      <c r="A47" s="12" t="s">
        <v>26</v>
      </c>
      <c r="B47" s="12" t="s">
        <v>7</v>
      </c>
      <c r="C47" s="13" t="s">
        <v>50</v>
      </c>
      <c r="D47" s="14">
        <f>SUM(D48:D54)</f>
        <v>2940071</v>
      </c>
      <c r="E47" s="14">
        <f t="shared" si="18"/>
        <v>-1156660.5</v>
      </c>
      <c r="F47" s="14">
        <f>SUM(F48:F54)</f>
        <v>1783410.5</v>
      </c>
      <c r="G47" s="14">
        <f>SUM(G48:G54)</f>
        <v>3479751.6999999997</v>
      </c>
      <c r="H47" s="14">
        <f t="shared" si="19"/>
        <v>-993777.8999999994</v>
      </c>
      <c r="I47" s="14">
        <f>SUM(I48:I54)</f>
        <v>2485973.8000000003</v>
      </c>
      <c r="J47" s="14">
        <f>SUM(J48:J54)</f>
        <v>2456801.1000000006</v>
      </c>
      <c r="K47" s="14">
        <f>SUM(K48:K54)</f>
        <v>-1400.9</v>
      </c>
      <c r="L47" s="14">
        <f>SUM(L48:L54)</f>
        <v>0</v>
      </c>
      <c r="M47" s="14">
        <f>SUM(M48:M54)</f>
        <v>0</v>
      </c>
      <c r="N47" s="14">
        <f t="shared" si="0"/>
        <v>-1158061.4</v>
      </c>
      <c r="O47" s="14">
        <f t="shared" si="1"/>
        <v>1782009.6</v>
      </c>
      <c r="P47" s="14">
        <f t="shared" si="2"/>
        <v>-993777.8999999994</v>
      </c>
      <c r="Q47" s="14">
        <f t="shared" si="3"/>
        <v>2485973.8000000003</v>
      </c>
      <c r="R47" s="14">
        <f t="shared" si="3"/>
        <v>2456801.1000000006</v>
      </c>
      <c r="S47" s="17">
        <f>SUM(S48:S54)</f>
        <v>78000.5</v>
      </c>
      <c r="T47" s="17">
        <f>SUM(T48:T54)</f>
        <v>0</v>
      </c>
      <c r="U47" s="17">
        <f>SUM(U48:U54)</f>
        <v>0</v>
      </c>
      <c r="V47" s="17">
        <f t="shared" si="4"/>
        <v>1860010.1</v>
      </c>
      <c r="W47" s="17">
        <f t="shared" si="5"/>
        <v>2485973.8000000003</v>
      </c>
      <c r="X47" s="17">
        <f t="shared" si="5"/>
        <v>2456801.1000000006</v>
      </c>
      <c r="Y47" s="14">
        <f>SUM(Y48:Y54)</f>
        <v>0</v>
      </c>
      <c r="Z47" s="14">
        <f>SUM(Z48:Z54)</f>
        <v>0</v>
      </c>
      <c r="AA47" s="14">
        <f>SUM(AA48:AA54)</f>
        <v>0</v>
      </c>
      <c r="AB47" s="17">
        <f t="shared" si="6"/>
        <v>1860010.1</v>
      </c>
      <c r="AC47" s="17">
        <f t="shared" si="6"/>
        <v>2485973.8000000003</v>
      </c>
      <c r="AD47" s="17">
        <f t="shared" si="6"/>
        <v>2456801.1000000006</v>
      </c>
      <c r="AE47" s="14">
        <f>SUM(AE48:AE54)</f>
        <v>0</v>
      </c>
      <c r="AF47" s="17">
        <f t="shared" si="7"/>
        <v>1860010.1</v>
      </c>
      <c r="AG47" s="17">
        <f t="shared" si="8"/>
        <v>2485973.8000000003</v>
      </c>
      <c r="AH47" s="17">
        <f t="shared" si="8"/>
        <v>2456801.1000000006</v>
      </c>
      <c r="AI47" s="14">
        <f>SUM(AI48:AI54)</f>
        <v>0</v>
      </c>
      <c r="AJ47" s="14">
        <f>SUM(AJ48:AJ54)</f>
        <v>0</v>
      </c>
      <c r="AK47" s="14">
        <f>SUM(AK48:AK54)</f>
        <v>0</v>
      </c>
      <c r="AL47" s="17">
        <f t="shared" si="9"/>
        <v>1860010.1</v>
      </c>
      <c r="AM47" s="17">
        <f t="shared" si="9"/>
        <v>2485973.8000000003</v>
      </c>
      <c r="AN47" s="17">
        <f t="shared" si="9"/>
        <v>2456801.1000000006</v>
      </c>
      <c r="AO47" s="14">
        <f>SUM(AO48:AO54)</f>
        <v>0</v>
      </c>
      <c r="AP47" s="14">
        <f>SUM(AP48:AP54)</f>
        <v>0</v>
      </c>
      <c r="AQ47" s="14">
        <f>SUM(AQ48:AQ54)</f>
        <v>0</v>
      </c>
      <c r="AR47" s="14">
        <f t="shared" si="10"/>
        <v>1860010.1</v>
      </c>
      <c r="AS47" s="14">
        <f t="shared" si="10"/>
        <v>2485973.8000000003</v>
      </c>
      <c r="AT47" s="14">
        <f t="shared" si="10"/>
        <v>2456801.1000000006</v>
      </c>
      <c r="AU47" s="14">
        <f>SUM(AU48:AU54)</f>
        <v>651241.331</v>
      </c>
      <c r="AV47" s="14">
        <f>SUM(AV48:AV54)</f>
        <v>0</v>
      </c>
      <c r="AW47" s="14">
        <f>SUM(AW48:AW54)</f>
        <v>0</v>
      </c>
      <c r="AX47" s="14">
        <f t="shared" si="11"/>
        <v>2511251.431</v>
      </c>
      <c r="AY47" s="14">
        <f t="shared" si="11"/>
        <v>2485973.8000000003</v>
      </c>
      <c r="AZ47" s="14">
        <f t="shared" si="11"/>
        <v>2456801.1000000006</v>
      </c>
      <c r="BA47" s="14">
        <f>SUM(BA48:BA54)</f>
        <v>0</v>
      </c>
      <c r="BB47" s="14">
        <f>SUM(BB48:BB54)</f>
        <v>0</v>
      </c>
      <c r="BC47" s="14">
        <f>SUM(BC48:BC54)</f>
        <v>0</v>
      </c>
      <c r="BD47" s="14">
        <f t="shared" si="12"/>
        <v>2511251.431</v>
      </c>
      <c r="BE47" s="14">
        <f t="shared" si="12"/>
        <v>2485973.8000000003</v>
      </c>
      <c r="BF47" s="14">
        <f t="shared" si="12"/>
        <v>2456801.1000000006</v>
      </c>
      <c r="BG47" s="14">
        <f>SUM(BG48:BG54)</f>
        <v>-54.34499999999999</v>
      </c>
      <c r="BH47" s="14">
        <f>SUM(BH48:BH54)</f>
        <v>0</v>
      </c>
      <c r="BI47" s="14">
        <f t="shared" si="13"/>
        <v>2511197.0859999997</v>
      </c>
      <c r="BJ47" s="14">
        <f t="shared" si="13"/>
        <v>2485973.8000000003</v>
      </c>
      <c r="BK47" s="14">
        <f t="shared" si="14"/>
        <v>2456801.1000000006</v>
      </c>
      <c r="BL47" s="14">
        <f>SUM(BL48:BL54)</f>
        <v>-167.655</v>
      </c>
      <c r="BM47" s="14">
        <f t="shared" si="15"/>
        <v>2511029.431</v>
      </c>
      <c r="BN47" s="14">
        <f>SUM(BN48:BN54)</f>
        <v>0</v>
      </c>
      <c r="BO47" s="14">
        <f>SUM(BO48:BO54)</f>
        <v>0</v>
      </c>
      <c r="BP47" s="14">
        <f>SUM(BP48:BP54)</f>
        <v>0</v>
      </c>
      <c r="BQ47" s="14">
        <f t="shared" si="16"/>
        <v>2511029.431</v>
      </c>
      <c r="BR47" s="14">
        <f t="shared" si="17"/>
        <v>2485973.8000000003</v>
      </c>
      <c r="BS47" s="14">
        <f t="shared" si="17"/>
        <v>2456801.1000000006</v>
      </c>
      <c r="BT47" s="14">
        <f>SUM(BT48:BT54)</f>
        <v>0</v>
      </c>
      <c r="BU47" s="14">
        <f t="shared" si="20"/>
        <v>2511029.431</v>
      </c>
      <c r="BV47" s="14">
        <f>SUM(BV48:BV54)</f>
        <v>0</v>
      </c>
    </row>
    <row r="48" spans="1:74" ht="15.75">
      <c r="A48" s="4" t="s">
        <v>26</v>
      </c>
      <c r="B48" s="7" t="s">
        <v>6</v>
      </c>
      <c r="C48" s="5" t="s">
        <v>51</v>
      </c>
      <c r="D48" s="6">
        <v>1505219.2</v>
      </c>
      <c r="E48" s="6">
        <f t="shared" si="18"/>
        <v>-613311.6</v>
      </c>
      <c r="F48" s="6">
        <v>891907.6</v>
      </c>
      <c r="G48" s="6">
        <v>1775750.8</v>
      </c>
      <c r="H48" s="6">
        <f t="shared" si="19"/>
        <v>-340679.69999999995</v>
      </c>
      <c r="I48" s="6">
        <v>1435071.1</v>
      </c>
      <c r="J48" s="6">
        <v>1371216.6</v>
      </c>
      <c r="K48" s="6">
        <f>-1555.9</f>
        <v>-1555.9</v>
      </c>
      <c r="L48" s="6"/>
      <c r="M48" s="6"/>
      <c r="N48" s="6">
        <f t="shared" si="0"/>
        <v>-614867.5</v>
      </c>
      <c r="O48" s="6">
        <f t="shared" si="1"/>
        <v>890351.7</v>
      </c>
      <c r="P48" s="6">
        <f t="shared" si="2"/>
        <v>-340679.69999999995</v>
      </c>
      <c r="Q48" s="6">
        <f t="shared" si="3"/>
        <v>1435071.1</v>
      </c>
      <c r="R48" s="6">
        <f t="shared" si="3"/>
        <v>1371216.6</v>
      </c>
      <c r="S48" s="18"/>
      <c r="T48" s="18"/>
      <c r="U48" s="18"/>
      <c r="V48" s="18">
        <f t="shared" si="4"/>
        <v>890351.7</v>
      </c>
      <c r="W48" s="18">
        <f t="shared" si="5"/>
        <v>1435071.1</v>
      </c>
      <c r="X48" s="18">
        <f t="shared" si="5"/>
        <v>1371216.6</v>
      </c>
      <c r="Y48" s="6">
        <f>-1490.39-26000+11250</f>
        <v>-16240.39</v>
      </c>
      <c r="Z48" s="6">
        <v>-1590.956</v>
      </c>
      <c r="AA48" s="6">
        <v>-1603.383</v>
      </c>
      <c r="AB48" s="18">
        <f t="shared" si="6"/>
        <v>874111.3099999999</v>
      </c>
      <c r="AC48" s="18">
        <f t="shared" si="6"/>
        <v>1433480.144</v>
      </c>
      <c r="AD48" s="18">
        <f t="shared" si="6"/>
        <v>1369613.2170000002</v>
      </c>
      <c r="AE48" s="6">
        <f>2155.8-2155.8</f>
        <v>0</v>
      </c>
      <c r="AF48" s="18">
        <f t="shared" si="7"/>
        <v>874111.3099999999</v>
      </c>
      <c r="AG48" s="18">
        <f t="shared" si="8"/>
        <v>1433480.144</v>
      </c>
      <c r="AH48" s="18">
        <f t="shared" si="8"/>
        <v>1369613.2170000002</v>
      </c>
      <c r="AI48" s="6"/>
      <c r="AJ48" s="6"/>
      <c r="AK48" s="6"/>
      <c r="AL48" s="18">
        <f t="shared" si="9"/>
        <v>874111.3099999999</v>
      </c>
      <c r="AM48" s="18">
        <f t="shared" si="9"/>
        <v>1433480.144</v>
      </c>
      <c r="AN48" s="18">
        <f t="shared" si="9"/>
        <v>1369613.2170000002</v>
      </c>
      <c r="AO48" s="6"/>
      <c r="AP48" s="6"/>
      <c r="AQ48" s="6"/>
      <c r="AR48" s="6">
        <f t="shared" si="10"/>
        <v>874111.3099999999</v>
      </c>
      <c r="AS48" s="6">
        <f t="shared" si="10"/>
        <v>1433480.144</v>
      </c>
      <c r="AT48" s="6">
        <f t="shared" si="10"/>
        <v>1369613.2170000002</v>
      </c>
      <c r="AU48" s="6">
        <f>260+39558.621+4738.824+628.793+250.656+5000+20000+40886.85+10000+129916.15+30000+2000+75000</f>
        <v>358239.894</v>
      </c>
      <c r="AV48" s="6"/>
      <c r="AW48" s="6"/>
      <c r="AX48" s="6">
        <f t="shared" si="11"/>
        <v>1232351.204</v>
      </c>
      <c r="AY48" s="6">
        <f t="shared" si="11"/>
        <v>1433480.144</v>
      </c>
      <c r="AZ48" s="6">
        <f t="shared" si="11"/>
        <v>1369613.2170000002</v>
      </c>
      <c r="BA48" s="6"/>
      <c r="BB48" s="6"/>
      <c r="BC48" s="6"/>
      <c r="BD48" s="6">
        <f t="shared" si="12"/>
        <v>1232351.204</v>
      </c>
      <c r="BE48" s="6">
        <f t="shared" si="12"/>
        <v>1433480.144</v>
      </c>
      <c r="BF48" s="6">
        <f t="shared" si="12"/>
        <v>1369613.2170000002</v>
      </c>
      <c r="BG48" s="6">
        <v>-1386.46</v>
      </c>
      <c r="BH48" s="6"/>
      <c r="BI48" s="6">
        <f t="shared" si="13"/>
        <v>1230964.744</v>
      </c>
      <c r="BJ48" s="6">
        <f t="shared" si="13"/>
        <v>1433480.144</v>
      </c>
      <c r="BK48" s="6">
        <f t="shared" si="14"/>
        <v>1369613.2170000002</v>
      </c>
      <c r="BL48" s="6"/>
      <c r="BM48" s="6">
        <f t="shared" si="15"/>
        <v>1230964.744</v>
      </c>
      <c r="BN48" s="6">
        <f>6669.161-10322.265-618.707</f>
        <v>-4271.811</v>
      </c>
      <c r="BO48" s="6"/>
      <c r="BP48" s="6"/>
      <c r="BQ48" s="6">
        <f t="shared" si="16"/>
        <v>1226692.933</v>
      </c>
      <c r="BR48" s="6">
        <f t="shared" si="17"/>
        <v>1433480.144</v>
      </c>
      <c r="BS48" s="6">
        <f t="shared" si="17"/>
        <v>1369613.2170000002</v>
      </c>
      <c r="BT48" s="6"/>
      <c r="BU48" s="6">
        <f t="shared" si="20"/>
        <v>1226692.933</v>
      </c>
      <c r="BV48" s="6"/>
    </row>
    <row r="49" spans="1:74" ht="15.75">
      <c r="A49" s="4" t="s">
        <v>26</v>
      </c>
      <c r="B49" s="7" t="s">
        <v>9</v>
      </c>
      <c r="C49" s="5" t="s">
        <v>52</v>
      </c>
      <c r="D49" s="6">
        <v>679245</v>
      </c>
      <c r="E49" s="6">
        <f t="shared" si="18"/>
        <v>-461088.4</v>
      </c>
      <c r="F49" s="6">
        <v>218156.6</v>
      </c>
      <c r="G49" s="6">
        <v>886181.5</v>
      </c>
      <c r="H49" s="6">
        <f t="shared" si="19"/>
        <v>-548828.5</v>
      </c>
      <c r="I49" s="6">
        <v>337353</v>
      </c>
      <c r="J49" s="6">
        <v>323199.6</v>
      </c>
      <c r="K49" s="6"/>
      <c r="L49" s="6"/>
      <c r="M49" s="6"/>
      <c r="N49" s="6">
        <f t="shared" si="0"/>
        <v>-461088.4</v>
      </c>
      <c r="O49" s="6">
        <f t="shared" si="1"/>
        <v>218156.6</v>
      </c>
      <c r="P49" s="6">
        <f t="shared" si="2"/>
        <v>-548828.5</v>
      </c>
      <c r="Q49" s="6">
        <f t="shared" si="3"/>
        <v>337353</v>
      </c>
      <c r="R49" s="6">
        <f t="shared" si="3"/>
        <v>323199.6</v>
      </c>
      <c r="S49" s="18"/>
      <c r="T49" s="18"/>
      <c r="U49" s="18"/>
      <c r="V49" s="18">
        <f t="shared" si="4"/>
        <v>218156.6</v>
      </c>
      <c r="W49" s="18">
        <f t="shared" si="5"/>
        <v>337353</v>
      </c>
      <c r="X49" s="18">
        <f t="shared" si="5"/>
        <v>323199.6</v>
      </c>
      <c r="Y49" s="6">
        <f>1490.39+3750</f>
        <v>5240.39</v>
      </c>
      <c r="Z49" s="6">
        <v>1590.956</v>
      </c>
      <c r="AA49" s="6">
        <v>1603.383</v>
      </c>
      <c r="AB49" s="18">
        <f t="shared" si="6"/>
        <v>223396.99000000002</v>
      </c>
      <c r="AC49" s="18">
        <f t="shared" si="6"/>
        <v>338943.956</v>
      </c>
      <c r="AD49" s="18">
        <f t="shared" si="6"/>
        <v>324802.98299999995</v>
      </c>
      <c r="AE49" s="6">
        <f>-1500+1500</f>
        <v>0</v>
      </c>
      <c r="AF49" s="18">
        <f t="shared" si="7"/>
        <v>223396.99000000002</v>
      </c>
      <c r="AG49" s="18">
        <f t="shared" si="8"/>
        <v>338943.956</v>
      </c>
      <c r="AH49" s="18">
        <f t="shared" si="8"/>
        <v>324802.98299999995</v>
      </c>
      <c r="AI49" s="6"/>
      <c r="AJ49" s="6"/>
      <c r="AK49" s="6"/>
      <c r="AL49" s="18">
        <f t="shared" si="9"/>
        <v>223396.99000000002</v>
      </c>
      <c r="AM49" s="18">
        <f t="shared" si="9"/>
        <v>338943.956</v>
      </c>
      <c r="AN49" s="18">
        <f t="shared" si="9"/>
        <v>324802.98299999995</v>
      </c>
      <c r="AO49" s="6"/>
      <c r="AP49" s="6"/>
      <c r="AQ49" s="6"/>
      <c r="AR49" s="6">
        <f t="shared" si="10"/>
        <v>223396.99000000002</v>
      </c>
      <c r="AS49" s="6">
        <f t="shared" si="10"/>
        <v>338943.956</v>
      </c>
      <c r="AT49" s="6">
        <f t="shared" si="10"/>
        <v>324802.98299999995</v>
      </c>
      <c r="AU49" s="6">
        <f>15605.69+5530+789.75-260+29393.008+10.702+9.067+20000+60000+13300+5500+13220+26159.25</f>
        <v>189257.467</v>
      </c>
      <c r="AV49" s="6"/>
      <c r="AW49" s="6"/>
      <c r="AX49" s="6">
        <f t="shared" si="11"/>
        <v>412654.45700000005</v>
      </c>
      <c r="AY49" s="6">
        <f t="shared" si="11"/>
        <v>338943.956</v>
      </c>
      <c r="AZ49" s="6">
        <f t="shared" si="11"/>
        <v>324802.98299999995</v>
      </c>
      <c r="BA49" s="6"/>
      <c r="BB49" s="6"/>
      <c r="BC49" s="6"/>
      <c r="BD49" s="6">
        <f t="shared" si="12"/>
        <v>412654.45700000005</v>
      </c>
      <c r="BE49" s="6">
        <f t="shared" si="12"/>
        <v>338943.956</v>
      </c>
      <c r="BF49" s="6">
        <f t="shared" si="12"/>
        <v>324802.98299999995</v>
      </c>
      <c r="BG49" s="6">
        <v>1386.46</v>
      </c>
      <c r="BH49" s="6"/>
      <c r="BI49" s="6">
        <f t="shared" si="13"/>
        <v>414040.9170000001</v>
      </c>
      <c r="BJ49" s="6">
        <f t="shared" si="13"/>
        <v>338943.956</v>
      </c>
      <c r="BK49" s="6">
        <f t="shared" si="14"/>
        <v>324802.98299999995</v>
      </c>
      <c r="BL49" s="6"/>
      <c r="BM49" s="6">
        <f t="shared" si="15"/>
        <v>414040.9170000001</v>
      </c>
      <c r="BN49" s="6"/>
      <c r="BO49" s="6"/>
      <c r="BP49" s="6"/>
      <c r="BQ49" s="6">
        <f t="shared" si="16"/>
        <v>414040.9170000001</v>
      </c>
      <c r="BR49" s="6">
        <f t="shared" si="17"/>
        <v>338943.956</v>
      </c>
      <c r="BS49" s="6">
        <f t="shared" si="17"/>
        <v>324802.98299999995</v>
      </c>
      <c r="BT49" s="6"/>
      <c r="BU49" s="6">
        <f t="shared" si="20"/>
        <v>414040.9170000001</v>
      </c>
      <c r="BV49" s="6"/>
    </row>
    <row r="50" spans="1:74" ht="15.75">
      <c r="A50" s="4" t="s">
        <v>26</v>
      </c>
      <c r="B50" s="7" t="s">
        <v>13</v>
      </c>
      <c r="C50" s="5" t="s">
        <v>53</v>
      </c>
      <c r="D50" s="6">
        <v>508285.8</v>
      </c>
      <c r="E50" s="6">
        <f t="shared" si="18"/>
        <v>-59828.79999999999</v>
      </c>
      <c r="F50" s="6">
        <v>448457</v>
      </c>
      <c r="G50" s="6">
        <v>567896</v>
      </c>
      <c r="H50" s="6">
        <f t="shared" si="19"/>
        <v>-79283.29999999999</v>
      </c>
      <c r="I50" s="6">
        <v>488612.7</v>
      </c>
      <c r="J50" s="6">
        <v>527916.7</v>
      </c>
      <c r="K50" s="6"/>
      <c r="L50" s="6"/>
      <c r="M50" s="6"/>
      <c r="N50" s="6">
        <f t="shared" si="0"/>
        <v>-59828.79999999999</v>
      </c>
      <c r="O50" s="6">
        <f t="shared" si="1"/>
        <v>448457</v>
      </c>
      <c r="P50" s="6">
        <f t="shared" si="2"/>
        <v>-79283.29999999999</v>
      </c>
      <c r="Q50" s="6">
        <f t="shared" si="3"/>
        <v>488612.7</v>
      </c>
      <c r="R50" s="6">
        <f t="shared" si="3"/>
        <v>527916.7</v>
      </c>
      <c r="S50" s="18">
        <f>78000.5</f>
        <v>78000.5</v>
      </c>
      <c r="T50" s="18"/>
      <c r="U50" s="18"/>
      <c r="V50" s="18">
        <f t="shared" si="4"/>
        <v>526457.5</v>
      </c>
      <c r="W50" s="18">
        <f t="shared" si="5"/>
        <v>488612.7</v>
      </c>
      <c r="X50" s="18">
        <f t="shared" si="5"/>
        <v>527916.7</v>
      </c>
      <c r="Y50" s="6"/>
      <c r="Z50" s="6"/>
      <c r="AA50" s="6"/>
      <c r="AB50" s="18">
        <f t="shared" si="6"/>
        <v>526457.5</v>
      </c>
      <c r="AC50" s="18">
        <f t="shared" si="6"/>
        <v>488612.7</v>
      </c>
      <c r="AD50" s="18">
        <f t="shared" si="6"/>
        <v>527916.7</v>
      </c>
      <c r="AE50" s="6"/>
      <c r="AF50" s="18">
        <f t="shared" si="7"/>
        <v>526457.5</v>
      </c>
      <c r="AG50" s="18">
        <f t="shared" si="8"/>
        <v>488612.7</v>
      </c>
      <c r="AH50" s="18">
        <f t="shared" si="8"/>
        <v>527916.7</v>
      </c>
      <c r="AI50" s="6"/>
      <c r="AJ50" s="6"/>
      <c r="AK50" s="6"/>
      <c r="AL50" s="18">
        <f t="shared" si="9"/>
        <v>526457.5</v>
      </c>
      <c r="AM50" s="18">
        <f t="shared" si="9"/>
        <v>488612.7</v>
      </c>
      <c r="AN50" s="18">
        <f t="shared" si="9"/>
        <v>527916.7</v>
      </c>
      <c r="AO50" s="6"/>
      <c r="AP50" s="6"/>
      <c r="AQ50" s="6"/>
      <c r="AR50" s="6">
        <f t="shared" si="10"/>
        <v>526457.5</v>
      </c>
      <c r="AS50" s="6">
        <f t="shared" si="10"/>
        <v>488612.7</v>
      </c>
      <c r="AT50" s="6">
        <f t="shared" si="10"/>
        <v>527916.7</v>
      </c>
      <c r="AU50" s="6">
        <f>3.783+0.532+15690.15+4376+2500+800+34500</f>
        <v>57870.465</v>
      </c>
      <c r="AV50" s="6"/>
      <c r="AW50" s="6"/>
      <c r="AX50" s="6">
        <f t="shared" si="11"/>
        <v>584327.965</v>
      </c>
      <c r="AY50" s="6">
        <f t="shared" si="11"/>
        <v>488612.7</v>
      </c>
      <c r="AZ50" s="6">
        <f t="shared" si="11"/>
        <v>527916.7</v>
      </c>
      <c r="BA50" s="6"/>
      <c r="BB50" s="6"/>
      <c r="BC50" s="6"/>
      <c r="BD50" s="6">
        <f t="shared" si="12"/>
        <v>584327.965</v>
      </c>
      <c r="BE50" s="6">
        <f t="shared" si="12"/>
        <v>488612.7</v>
      </c>
      <c r="BF50" s="6">
        <f t="shared" si="12"/>
        <v>527916.7</v>
      </c>
      <c r="BG50" s="6"/>
      <c r="BH50" s="6"/>
      <c r="BI50" s="6">
        <f t="shared" si="13"/>
        <v>584327.965</v>
      </c>
      <c r="BJ50" s="6">
        <f t="shared" si="13"/>
        <v>488612.7</v>
      </c>
      <c r="BK50" s="6">
        <f t="shared" si="14"/>
        <v>527916.7</v>
      </c>
      <c r="BL50" s="6"/>
      <c r="BM50" s="6">
        <f t="shared" si="15"/>
        <v>584327.965</v>
      </c>
      <c r="BN50" s="6"/>
      <c r="BO50" s="6"/>
      <c r="BP50" s="6"/>
      <c r="BQ50" s="6">
        <f t="shared" si="16"/>
        <v>584327.965</v>
      </c>
      <c r="BR50" s="6">
        <f t="shared" si="17"/>
        <v>488612.7</v>
      </c>
      <c r="BS50" s="6">
        <f t="shared" si="17"/>
        <v>527916.7</v>
      </c>
      <c r="BT50" s="6"/>
      <c r="BU50" s="6">
        <f t="shared" si="20"/>
        <v>584327.965</v>
      </c>
      <c r="BV50" s="6"/>
    </row>
    <row r="51" spans="1:74" ht="15.75">
      <c r="A51" s="4" t="s">
        <v>26</v>
      </c>
      <c r="B51" s="7" t="s">
        <v>34</v>
      </c>
      <c r="C51" s="5" t="s">
        <v>54</v>
      </c>
      <c r="D51" s="6">
        <v>116189</v>
      </c>
      <c r="E51" s="6">
        <f t="shared" si="18"/>
        <v>-465</v>
      </c>
      <c r="F51" s="6">
        <v>115724</v>
      </c>
      <c r="G51" s="6">
        <v>138608.8</v>
      </c>
      <c r="H51" s="6">
        <f t="shared" si="19"/>
        <v>-25251.899999999994</v>
      </c>
      <c r="I51" s="6">
        <v>113356.9</v>
      </c>
      <c r="J51" s="6">
        <v>117519.4</v>
      </c>
      <c r="K51" s="6"/>
      <c r="L51" s="6"/>
      <c r="M51" s="6"/>
      <c r="N51" s="6">
        <f t="shared" si="0"/>
        <v>-465</v>
      </c>
      <c r="O51" s="6">
        <f t="shared" si="1"/>
        <v>115724</v>
      </c>
      <c r="P51" s="6">
        <f t="shared" si="2"/>
        <v>-25251.899999999994</v>
      </c>
      <c r="Q51" s="6">
        <f t="shared" si="3"/>
        <v>113356.9</v>
      </c>
      <c r="R51" s="6">
        <f t="shared" si="3"/>
        <v>117519.4</v>
      </c>
      <c r="S51" s="18"/>
      <c r="T51" s="18"/>
      <c r="U51" s="18"/>
      <c r="V51" s="18">
        <f t="shared" si="4"/>
        <v>115724</v>
      </c>
      <c r="W51" s="18">
        <f t="shared" si="5"/>
        <v>113356.9</v>
      </c>
      <c r="X51" s="18">
        <f t="shared" si="5"/>
        <v>117519.4</v>
      </c>
      <c r="Y51" s="6"/>
      <c r="Z51" s="6"/>
      <c r="AA51" s="6"/>
      <c r="AB51" s="18">
        <f t="shared" si="6"/>
        <v>115724</v>
      </c>
      <c r="AC51" s="18">
        <f t="shared" si="6"/>
        <v>113356.9</v>
      </c>
      <c r="AD51" s="18">
        <f t="shared" si="6"/>
        <v>117519.4</v>
      </c>
      <c r="AE51" s="6"/>
      <c r="AF51" s="18">
        <f t="shared" si="7"/>
        <v>115724</v>
      </c>
      <c r="AG51" s="18">
        <f t="shared" si="8"/>
        <v>113356.9</v>
      </c>
      <c r="AH51" s="18">
        <f t="shared" si="8"/>
        <v>117519.4</v>
      </c>
      <c r="AI51" s="6"/>
      <c r="AJ51" s="6"/>
      <c r="AK51" s="6"/>
      <c r="AL51" s="18">
        <f t="shared" si="9"/>
        <v>115724</v>
      </c>
      <c r="AM51" s="18">
        <f t="shared" si="9"/>
        <v>113356.9</v>
      </c>
      <c r="AN51" s="18">
        <f t="shared" si="9"/>
        <v>117519.4</v>
      </c>
      <c r="AO51" s="6"/>
      <c r="AP51" s="6"/>
      <c r="AQ51" s="6"/>
      <c r="AR51" s="6">
        <f t="shared" si="10"/>
        <v>115724</v>
      </c>
      <c r="AS51" s="6">
        <f t="shared" si="10"/>
        <v>113356.9</v>
      </c>
      <c r="AT51" s="6">
        <f t="shared" si="10"/>
        <v>117519.4</v>
      </c>
      <c r="AU51" s="6">
        <f>211.592+9.27+22.734+500+380</f>
        <v>1123.596</v>
      </c>
      <c r="AV51" s="6"/>
      <c r="AW51" s="6"/>
      <c r="AX51" s="6">
        <f t="shared" si="11"/>
        <v>116847.596</v>
      </c>
      <c r="AY51" s="6">
        <f t="shared" si="11"/>
        <v>113356.9</v>
      </c>
      <c r="AZ51" s="6">
        <f t="shared" si="11"/>
        <v>117519.4</v>
      </c>
      <c r="BA51" s="6"/>
      <c r="BB51" s="6"/>
      <c r="BC51" s="6"/>
      <c r="BD51" s="6">
        <f t="shared" si="12"/>
        <v>116847.596</v>
      </c>
      <c r="BE51" s="6">
        <f t="shared" si="12"/>
        <v>113356.9</v>
      </c>
      <c r="BF51" s="6">
        <f t="shared" si="12"/>
        <v>117519.4</v>
      </c>
      <c r="BG51" s="6"/>
      <c r="BH51" s="6"/>
      <c r="BI51" s="6">
        <f t="shared" si="13"/>
        <v>116847.596</v>
      </c>
      <c r="BJ51" s="6">
        <f t="shared" si="13"/>
        <v>113356.9</v>
      </c>
      <c r="BK51" s="6">
        <f t="shared" si="14"/>
        <v>117519.4</v>
      </c>
      <c r="BL51" s="6"/>
      <c r="BM51" s="6">
        <f t="shared" si="15"/>
        <v>116847.596</v>
      </c>
      <c r="BN51" s="6"/>
      <c r="BO51" s="6"/>
      <c r="BP51" s="6"/>
      <c r="BQ51" s="6">
        <f t="shared" si="16"/>
        <v>116847.596</v>
      </c>
      <c r="BR51" s="6">
        <f t="shared" si="17"/>
        <v>113356.9</v>
      </c>
      <c r="BS51" s="6">
        <f t="shared" si="17"/>
        <v>117519.4</v>
      </c>
      <c r="BT51" s="6"/>
      <c r="BU51" s="6">
        <f t="shared" si="20"/>
        <v>116847.596</v>
      </c>
      <c r="BV51" s="6"/>
    </row>
    <row r="52" spans="1:74" ht="31.5">
      <c r="A52" s="7" t="s">
        <v>26</v>
      </c>
      <c r="B52" s="7" t="s">
        <v>15</v>
      </c>
      <c r="C52" s="5" t="s">
        <v>55</v>
      </c>
      <c r="D52" s="6">
        <v>18089.8</v>
      </c>
      <c r="E52" s="6">
        <f t="shared" si="18"/>
        <v>-1648.3999999999978</v>
      </c>
      <c r="F52" s="6">
        <v>16441.4</v>
      </c>
      <c r="G52" s="6">
        <v>19744.7</v>
      </c>
      <c r="H52" s="6">
        <f t="shared" si="19"/>
        <v>-3182.7000000000007</v>
      </c>
      <c r="I52" s="6">
        <v>16562</v>
      </c>
      <c r="J52" s="6">
        <v>17017.7</v>
      </c>
      <c r="K52" s="6"/>
      <c r="L52" s="6"/>
      <c r="M52" s="6"/>
      <c r="N52" s="6">
        <f t="shared" si="0"/>
        <v>-1648.3999999999978</v>
      </c>
      <c r="O52" s="6">
        <f t="shared" si="1"/>
        <v>16441.4</v>
      </c>
      <c r="P52" s="6">
        <f t="shared" si="2"/>
        <v>-3182.7000000000007</v>
      </c>
      <c r="Q52" s="6">
        <f t="shared" si="3"/>
        <v>16562</v>
      </c>
      <c r="R52" s="6">
        <f t="shared" si="3"/>
        <v>17017.7</v>
      </c>
      <c r="S52" s="18"/>
      <c r="T52" s="18"/>
      <c r="U52" s="18"/>
      <c r="V52" s="18">
        <f t="shared" si="4"/>
        <v>16441.4</v>
      </c>
      <c r="W52" s="18">
        <f t="shared" si="5"/>
        <v>16562</v>
      </c>
      <c r="X52" s="18">
        <f t="shared" si="5"/>
        <v>17017.7</v>
      </c>
      <c r="Y52" s="6"/>
      <c r="Z52" s="6"/>
      <c r="AA52" s="6"/>
      <c r="AB52" s="18">
        <f t="shared" si="6"/>
        <v>16441.4</v>
      </c>
      <c r="AC52" s="18">
        <f t="shared" si="6"/>
        <v>16562</v>
      </c>
      <c r="AD52" s="18">
        <f t="shared" si="6"/>
        <v>17017.7</v>
      </c>
      <c r="AE52" s="6"/>
      <c r="AF52" s="18">
        <f t="shared" si="7"/>
        <v>16441.4</v>
      </c>
      <c r="AG52" s="18">
        <f t="shared" si="8"/>
        <v>16562</v>
      </c>
      <c r="AH52" s="18">
        <f t="shared" si="8"/>
        <v>17017.7</v>
      </c>
      <c r="AI52" s="6"/>
      <c r="AJ52" s="6"/>
      <c r="AK52" s="6"/>
      <c r="AL52" s="18">
        <f t="shared" si="9"/>
        <v>16441.4</v>
      </c>
      <c r="AM52" s="18">
        <f t="shared" si="9"/>
        <v>16562</v>
      </c>
      <c r="AN52" s="18">
        <f t="shared" si="9"/>
        <v>17017.7</v>
      </c>
      <c r="AO52" s="6"/>
      <c r="AP52" s="6"/>
      <c r="AQ52" s="6"/>
      <c r="AR52" s="6">
        <f t="shared" si="10"/>
        <v>16441.4</v>
      </c>
      <c r="AS52" s="6">
        <f t="shared" si="10"/>
        <v>16562</v>
      </c>
      <c r="AT52" s="6">
        <f t="shared" si="10"/>
        <v>17017.7</v>
      </c>
      <c r="AU52" s="6"/>
      <c r="AV52" s="6"/>
      <c r="AW52" s="6"/>
      <c r="AX52" s="6">
        <f t="shared" si="11"/>
        <v>16441.4</v>
      </c>
      <c r="AY52" s="6">
        <f t="shared" si="11"/>
        <v>16562</v>
      </c>
      <c r="AZ52" s="6">
        <f t="shared" si="11"/>
        <v>17017.7</v>
      </c>
      <c r="BA52" s="6"/>
      <c r="BB52" s="6"/>
      <c r="BC52" s="6"/>
      <c r="BD52" s="6">
        <f t="shared" si="12"/>
        <v>16441.4</v>
      </c>
      <c r="BE52" s="6">
        <f t="shared" si="12"/>
        <v>16562</v>
      </c>
      <c r="BF52" s="6">
        <f t="shared" si="12"/>
        <v>17017.7</v>
      </c>
      <c r="BG52" s="6"/>
      <c r="BH52" s="6"/>
      <c r="BI52" s="6">
        <f t="shared" si="13"/>
        <v>16441.4</v>
      </c>
      <c r="BJ52" s="6">
        <f t="shared" si="13"/>
        <v>16562</v>
      </c>
      <c r="BK52" s="6">
        <f t="shared" si="14"/>
        <v>17017.7</v>
      </c>
      <c r="BL52" s="6"/>
      <c r="BM52" s="6">
        <f t="shared" si="15"/>
        <v>16441.4</v>
      </c>
      <c r="BN52" s="6"/>
      <c r="BO52" s="6"/>
      <c r="BP52" s="6"/>
      <c r="BQ52" s="6">
        <f t="shared" si="16"/>
        <v>16441.4</v>
      </c>
      <c r="BR52" s="6">
        <f t="shared" si="17"/>
        <v>16562</v>
      </c>
      <c r="BS52" s="6">
        <f t="shared" si="17"/>
        <v>17017.7</v>
      </c>
      <c r="BT52" s="6"/>
      <c r="BU52" s="6">
        <f t="shared" si="20"/>
        <v>16441.4</v>
      </c>
      <c r="BV52" s="6"/>
    </row>
    <row r="53" spans="1:74" ht="15.75">
      <c r="A53" s="4" t="s">
        <v>26</v>
      </c>
      <c r="B53" s="7" t="s">
        <v>31</v>
      </c>
      <c r="C53" s="5" t="s">
        <v>56</v>
      </c>
      <c r="D53" s="6">
        <v>66025</v>
      </c>
      <c r="E53" s="6">
        <f t="shared" si="18"/>
        <v>-18220.4</v>
      </c>
      <c r="F53" s="6">
        <f>47285.6+519</f>
        <v>47804.6</v>
      </c>
      <c r="G53" s="6">
        <v>46226.3</v>
      </c>
      <c r="H53" s="6">
        <f t="shared" si="19"/>
        <v>6191.0999999999985</v>
      </c>
      <c r="I53" s="6">
        <v>52417.4</v>
      </c>
      <c r="J53" s="6">
        <v>56601.4</v>
      </c>
      <c r="K53" s="6"/>
      <c r="L53" s="6"/>
      <c r="M53" s="6"/>
      <c r="N53" s="6">
        <f t="shared" si="0"/>
        <v>-18220.4</v>
      </c>
      <c r="O53" s="6">
        <f t="shared" si="1"/>
        <v>47804.6</v>
      </c>
      <c r="P53" s="6">
        <f t="shared" si="2"/>
        <v>6191.0999999999985</v>
      </c>
      <c r="Q53" s="6">
        <f t="shared" si="3"/>
        <v>52417.4</v>
      </c>
      <c r="R53" s="6">
        <f t="shared" si="3"/>
        <v>56601.4</v>
      </c>
      <c r="S53" s="18"/>
      <c r="T53" s="18"/>
      <c r="U53" s="18"/>
      <c r="V53" s="18">
        <f t="shared" si="4"/>
        <v>47804.6</v>
      </c>
      <c r="W53" s="18">
        <f t="shared" si="5"/>
        <v>52417.4</v>
      </c>
      <c r="X53" s="18">
        <f t="shared" si="5"/>
        <v>56601.4</v>
      </c>
      <c r="Y53" s="6"/>
      <c r="Z53" s="6"/>
      <c r="AA53" s="6"/>
      <c r="AB53" s="18">
        <f t="shared" si="6"/>
        <v>47804.6</v>
      </c>
      <c r="AC53" s="18">
        <f t="shared" si="6"/>
        <v>52417.4</v>
      </c>
      <c r="AD53" s="18">
        <f t="shared" si="6"/>
        <v>56601.4</v>
      </c>
      <c r="AE53" s="6"/>
      <c r="AF53" s="18">
        <f t="shared" si="7"/>
        <v>47804.6</v>
      </c>
      <c r="AG53" s="18">
        <f t="shared" si="8"/>
        <v>52417.4</v>
      </c>
      <c r="AH53" s="18">
        <f t="shared" si="8"/>
        <v>56601.4</v>
      </c>
      <c r="AI53" s="6"/>
      <c r="AJ53" s="6"/>
      <c r="AK53" s="6"/>
      <c r="AL53" s="18">
        <f t="shared" si="9"/>
        <v>47804.6</v>
      </c>
      <c r="AM53" s="18">
        <f t="shared" si="9"/>
        <v>52417.4</v>
      </c>
      <c r="AN53" s="18">
        <f t="shared" si="9"/>
        <v>56601.4</v>
      </c>
      <c r="AO53" s="6"/>
      <c r="AP53" s="6"/>
      <c r="AQ53" s="6"/>
      <c r="AR53" s="6">
        <f t="shared" si="10"/>
        <v>47804.6</v>
      </c>
      <c r="AS53" s="6">
        <f t="shared" si="10"/>
        <v>52417.4</v>
      </c>
      <c r="AT53" s="6">
        <f t="shared" si="10"/>
        <v>56601.4</v>
      </c>
      <c r="AU53" s="6">
        <f>335.525+0.04+0.942+48.59+5.401+7.398+83.456+45.402+31513.643+4913.957+2639.4+5030.37</f>
        <v>44624.124</v>
      </c>
      <c r="AV53" s="6"/>
      <c r="AW53" s="6"/>
      <c r="AX53" s="6">
        <f t="shared" si="11"/>
        <v>92428.724</v>
      </c>
      <c r="AY53" s="6">
        <f t="shared" si="11"/>
        <v>52417.4</v>
      </c>
      <c r="AZ53" s="6">
        <f t="shared" si="11"/>
        <v>56601.4</v>
      </c>
      <c r="BA53" s="6"/>
      <c r="BB53" s="6"/>
      <c r="BC53" s="6"/>
      <c r="BD53" s="6">
        <f t="shared" si="12"/>
        <v>92428.724</v>
      </c>
      <c r="BE53" s="6">
        <f t="shared" si="12"/>
        <v>52417.4</v>
      </c>
      <c r="BF53" s="6">
        <f t="shared" si="12"/>
        <v>56601.4</v>
      </c>
      <c r="BG53" s="6">
        <f>-266.012+44.012+116.537+51.118</f>
        <v>-54.34499999999999</v>
      </c>
      <c r="BH53" s="6"/>
      <c r="BI53" s="6">
        <f t="shared" si="13"/>
        <v>92374.379</v>
      </c>
      <c r="BJ53" s="6">
        <f t="shared" si="13"/>
        <v>52417.4</v>
      </c>
      <c r="BK53" s="6">
        <f t="shared" si="14"/>
        <v>56601.4</v>
      </c>
      <c r="BL53" s="6">
        <f>-116.537-51.118</f>
        <v>-167.655</v>
      </c>
      <c r="BM53" s="6">
        <f t="shared" si="15"/>
        <v>92206.724</v>
      </c>
      <c r="BN53" s="6"/>
      <c r="BO53" s="6"/>
      <c r="BP53" s="6"/>
      <c r="BQ53" s="6">
        <f t="shared" si="16"/>
        <v>92206.724</v>
      </c>
      <c r="BR53" s="6">
        <f t="shared" si="17"/>
        <v>52417.4</v>
      </c>
      <c r="BS53" s="6">
        <f t="shared" si="17"/>
        <v>56601.4</v>
      </c>
      <c r="BT53" s="6"/>
      <c r="BU53" s="6">
        <f t="shared" si="20"/>
        <v>92206.724</v>
      </c>
      <c r="BV53" s="6"/>
    </row>
    <row r="54" spans="1:74" ht="31.5">
      <c r="A54" s="4" t="s">
        <v>26</v>
      </c>
      <c r="B54" s="7" t="s">
        <v>57</v>
      </c>
      <c r="C54" s="5" t="s">
        <v>58</v>
      </c>
      <c r="D54" s="6">
        <v>47017.2</v>
      </c>
      <c r="E54" s="6">
        <f t="shared" si="18"/>
        <v>-2097.899999999994</v>
      </c>
      <c r="F54" s="6">
        <v>44919.3</v>
      </c>
      <c r="G54" s="6">
        <v>45343.6</v>
      </c>
      <c r="H54" s="6">
        <f t="shared" si="19"/>
        <v>-2742.9000000000015</v>
      </c>
      <c r="I54" s="6">
        <v>42600.7</v>
      </c>
      <c r="J54" s="6">
        <v>43329.7</v>
      </c>
      <c r="K54" s="6">
        <f>40+75+40</f>
        <v>155</v>
      </c>
      <c r="L54" s="6"/>
      <c r="M54" s="6"/>
      <c r="N54" s="6">
        <f t="shared" si="0"/>
        <v>-1942.8999999999942</v>
      </c>
      <c r="O54" s="6">
        <f t="shared" si="1"/>
        <v>45074.3</v>
      </c>
      <c r="P54" s="6">
        <f t="shared" si="2"/>
        <v>-2742.9000000000015</v>
      </c>
      <c r="Q54" s="6">
        <f t="shared" si="3"/>
        <v>42600.7</v>
      </c>
      <c r="R54" s="6">
        <f t="shared" si="3"/>
        <v>43329.7</v>
      </c>
      <c r="S54" s="18"/>
      <c r="T54" s="18"/>
      <c r="U54" s="18"/>
      <c r="V54" s="18">
        <f t="shared" si="4"/>
        <v>45074.3</v>
      </c>
      <c r="W54" s="18">
        <f t="shared" si="5"/>
        <v>42600.7</v>
      </c>
      <c r="X54" s="18">
        <f t="shared" si="5"/>
        <v>43329.7</v>
      </c>
      <c r="Y54" s="6">
        <v>11000</v>
      </c>
      <c r="Z54" s="6"/>
      <c r="AA54" s="6"/>
      <c r="AB54" s="18">
        <f t="shared" si="6"/>
        <v>56074.3</v>
      </c>
      <c r="AC54" s="18">
        <f t="shared" si="6"/>
        <v>42600.7</v>
      </c>
      <c r="AD54" s="18">
        <f t="shared" si="6"/>
        <v>43329.7</v>
      </c>
      <c r="AE54" s="6"/>
      <c r="AF54" s="18">
        <f t="shared" si="7"/>
        <v>56074.3</v>
      </c>
      <c r="AG54" s="18">
        <f t="shared" si="8"/>
        <v>42600.7</v>
      </c>
      <c r="AH54" s="18">
        <f t="shared" si="8"/>
        <v>43329.7</v>
      </c>
      <c r="AI54" s="6"/>
      <c r="AJ54" s="6"/>
      <c r="AK54" s="6"/>
      <c r="AL54" s="18">
        <f t="shared" si="9"/>
        <v>56074.3</v>
      </c>
      <c r="AM54" s="18">
        <f t="shared" si="9"/>
        <v>42600.7</v>
      </c>
      <c r="AN54" s="18">
        <f t="shared" si="9"/>
        <v>43329.7</v>
      </c>
      <c r="AO54" s="6"/>
      <c r="AP54" s="6"/>
      <c r="AQ54" s="6"/>
      <c r="AR54" s="6">
        <f t="shared" si="10"/>
        <v>56074.3</v>
      </c>
      <c r="AS54" s="6">
        <f t="shared" si="10"/>
        <v>42600.7</v>
      </c>
      <c r="AT54" s="6">
        <f t="shared" si="10"/>
        <v>43329.7</v>
      </c>
      <c r="AU54" s="6">
        <f>20.127+17.84+3.92+16.896+0.002+67</f>
        <v>125.785</v>
      </c>
      <c r="AV54" s="6"/>
      <c r="AW54" s="6"/>
      <c r="AX54" s="6">
        <f t="shared" si="11"/>
        <v>56200.08500000001</v>
      </c>
      <c r="AY54" s="6">
        <f t="shared" si="11"/>
        <v>42600.7</v>
      </c>
      <c r="AZ54" s="6">
        <f t="shared" si="11"/>
        <v>43329.7</v>
      </c>
      <c r="BA54" s="6"/>
      <c r="BB54" s="6"/>
      <c r="BC54" s="6"/>
      <c r="BD54" s="6">
        <f t="shared" si="12"/>
        <v>56200.08500000001</v>
      </c>
      <c r="BE54" s="6">
        <f t="shared" si="12"/>
        <v>42600.7</v>
      </c>
      <c r="BF54" s="6">
        <f t="shared" si="12"/>
        <v>43329.7</v>
      </c>
      <c r="BG54" s="6"/>
      <c r="BH54" s="6"/>
      <c r="BI54" s="6">
        <f t="shared" si="13"/>
        <v>56200.08500000001</v>
      </c>
      <c r="BJ54" s="6">
        <f t="shared" si="13"/>
        <v>42600.7</v>
      </c>
      <c r="BK54" s="6">
        <f t="shared" si="14"/>
        <v>43329.7</v>
      </c>
      <c r="BL54" s="6"/>
      <c r="BM54" s="6">
        <f t="shared" si="15"/>
        <v>56200.08500000001</v>
      </c>
      <c r="BN54" s="6">
        <f>3653.104+618.707</f>
        <v>4271.811</v>
      </c>
      <c r="BO54" s="6"/>
      <c r="BP54" s="6"/>
      <c r="BQ54" s="6">
        <f t="shared" si="16"/>
        <v>60471.89600000001</v>
      </c>
      <c r="BR54" s="6">
        <f t="shared" si="17"/>
        <v>42600.7</v>
      </c>
      <c r="BS54" s="6">
        <f t="shared" si="17"/>
        <v>43329.7</v>
      </c>
      <c r="BT54" s="6"/>
      <c r="BU54" s="6">
        <f t="shared" si="20"/>
        <v>60471.89600000001</v>
      </c>
      <c r="BV54" s="6"/>
    </row>
    <row r="55" spans="1:74" s="15" customFormat="1" ht="15.75">
      <c r="A55" s="12" t="s">
        <v>57</v>
      </c>
      <c r="B55" s="12" t="s">
        <v>7</v>
      </c>
      <c r="C55" s="13" t="s">
        <v>59</v>
      </c>
      <c r="D55" s="14">
        <f>SUM(D56:D59)</f>
        <v>856121.1</v>
      </c>
      <c r="E55" s="14">
        <f t="shared" si="18"/>
        <v>-95381.09999999998</v>
      </c>
      <c r="F55" s="14">
        <f>SUM(F56:F59)</f>
        <v>760740</v>
      </c>
      <c r="G55" s="14">
        <f>SUM(G56:G59)</f>
        <v>944883.7000000001</v>
      </c>
      <c r="H55" s="14">
        <f t="shared" si="19"/>
        <v>-204532.80000000005</v>
      </c>
      <c r="I55" s="14">
        <f>SUM(I56:I59)</f>
        <v>740350.9</v>
      </c>
      <c r="J55" s="14">
        <f>SUM(J56:J59)</f>
        <v>751785.7000000001</v>
      </c>
      <c r="K55" s="14">
        <f>SUM(K56:K59)</f>
        <v>47552.450000000004</v>
      </c>
      <c r="L55" s="14">
        <f>SUM(L56:L59)</f>
        <v>50175.00000000001</v>
      </c>
      <c r="M55" s="14">
        <f>SUM(M56:M59)</f>
        <v>50815.700000000004</v>
      </c>
      <c r="N55" s="14">
        <f t="shared" si="0"/>
        <v>-47828.64999999997</v>
      </c>
      <c r="O55" s="14">
        <f t="shared" si="1"/>
        <v>808292.45</v>
      </c>
      <c r="P55" s="14">
        <f t="shared" si="2"/>
        <v>-154357.80000000005</v>
      </c>
      <c r="Q55" s="14">
        <f t="shared" si="3"/>
        <v>790525.9</v>
      </c>
      <c r="R55" s="14">
        <f t="shared" si="3"/>
        <v>802601.4</v>
      </c>
      <c r="S55" s="17">
        <f>SUM(S56:S59)</f>
        <v>110364.3</v>
      </c>
      <c r="T55" s="17">
        <f>SUM(T56:T59)</f>
        <v>84179</v>
      </c>
      <c r="U55" s="17">
        <f>SUM(U56:U59)</f>
        <v>94125</v>
      </c>
      <c r="V55" s="17">
        <f t="shared" si="4"/>
        <v>918656.75</v>
      </c>
      <c r="W55" s="17">
        <f t="shared" si="5"/>
        <v>874704.9</v>
      </c>
      <c r="X55" s="17">
        <f t="shared" si="5"/>
        <v>896726.4</v>
      </c>
      <c r="Y55" s="14">
        <f>SUM(Y56:Y59)</f>
        <v>0</v>
      </c>
      <c r="Z55" s="14">
        <f>SUM(Z56:Z59)</f>
        <v>0</v>
      </c>
      <c r="AA55" s="14">
        <f>SUM(AA56:AA59)</f>
        <v>0</v>
      </c>
      <c r="AB55" s="17">
        <f t="shared" si="6"/>
        <v>918656.75</v>
      </c>
      <c r="AC55" s="17">
        <f t="shared" si="6"/>
        <v>874704.9</v>
      </c>
      <c r="AD55" s="17">
        <f t="shared" si="6"/>
        <v>896726.4</v>
      </c>
      <c r="AE55" s="14">
        <f>SUM(AE56:AE59)</f>
        <v>0</v>
      </c>
      <c r="AF55" s="17">
        <f t="shared" si="7"/>
        <v>918656.75</v>
      </c>
      <c r="AG55" s="17">
        <f t="shared" si="8"/>
        <v>874704.9</v>
      </c>
      <c r="AH55" s="17">
        <f t="shared" si="8"/>
        <v>896726.4</v>
      </c>
      <c r="AI55" s="14">
        <f>SUM(AI56:AI59)</f>
        <v>-1119.2</v>
      </c>
      <c r="AJ55" s="14">
        <f>SUM(AJ56:AJ59)</f>
        <v>-1118</v>
      </c>
      <c r="AK55" s="14">
        <f>SUM(AK56:AK59)</f>
        <v>-1118</v>
      </c>
      <c r="AL55" s="17">
        <f t="shared" si="9"/>
        <v>917537.55</v>
      </c>
      <c r="AM55" s="17">
        <f t="shared" si="9"/>
        <v>873586.9</v>
      </c>
      <c r="AN55" s="17">
        <f t="shared" si="9"/>
        <v>895608.4</v>
      </c>
      <c r="AO55" s="14">
        <f>SUM(AO56:AO59)</f>
        <v>0</v>
      </c>
      <c r="AP55" s="14">
        <f>SUM(AP56:AP59)</f>
        <v>0</v>
      </c>
      <c r="AQ55" s="14">
        <f>SUM(AQ56:AQ59)</f>
        <v>0</v>
      </c>
      <c r="AR55" s="14">
        <f t="shared" si="10"/>
        <v>917537.55</v>
      </c>
      <c r="AS55" s="14">
        <f t="shared" si="10"/>
        <v>873586.9</v>
      </c>
      <c r="AT55" s="14">
        <f t="shared" si="10"/>
        <v>895608.4</v>
      </c>
      <c r="AU55" s="14">
        <f>SUM(AU56:AU59)</f>
        <v>26990.64</v>
      </c>
      <c r="AV55" s="14">
        <f>SUM(AV56:AV59)</f>
        <v>0</v>
      </c>
      <c r="AW55" s="14">
        <f>SUM(AW56:AW59)</f>
        <v>0</v>
      </c>
      <c r="AX55" s="14">
        <f t="shared" si="11"/>
        <v>944528.1900000001</v>
      </c>
      <c r="AY55" s="14">
        <f t="shared" si="11"/>
        <v>873586.9</v>
      </c>
      <c r="AZ55" s="14">
        <f t="shared" si="11"/>
        <v>895608.4</v>
      </c>
      <c r="BA55" s="14">
        <f>SUM(BA56:BA59)</f>
        <v>0</v>
      </c>
      <c r="BB55" s="14">
        <f>SUM(BB56:BB59)</f>
        <v>0</v>
      </c>
      <c r="BC55" s="14">
        <f>SUM(BC56:BC59)</f>
        <v>0</v>
      </c>
      <c r="BD55" s="14">
        <f t="shared" si="12"/>
        <v>944528.1900000001</v>
      </c>
      <c r="BE55" s="14">
        <f t="shared" si="12"/>
        <v>873586.9</v>
      </c>
      <c r="BF55" s="14">
        <f t="shared" si="12"/>
        <v>895608.4</v>
      </c>
      <c r="BG55" s="14">
        <f>SUM(BG56:BG59)</f>
        <v>396.2</v>
      </c>
      <c r="BH55" s="14">
        <f>SUM(BH56:BH59)</f>
        <v>0</v>
      </c>
      <c r="BI55" s="14">
        <f t="shared" si="13"/>
        <v>944924.39</v>
      </c>
      <c r="BJ55" s="14">
        <f t="shared" si="13"/>
        <v>873586.9</v>
      </c>
      <c r="BK55" s="14">
        <f t="shared" si="14"/>
        <v>895608.4</v>
      </c>
      <c r="BL55" s="14">
        <f>SUM(BL56:BL59)</f>
        <v>0</v>
      </c>
      <c r="BM55" s="14">
        <f t="shared" si="15"/>
        <v>944924.39</v>
      </c>
      <c r="BN55" s="14">
        <f>SUM(BN56:BN59)</f>
        <v>180211.1</v>
      </c>
      <c r="BO55" s="14">
        <f>SUM(BO56:BO59)</f>
        <v>0</v>
      </c>
      <c r="BP55" s="14">
        <f>SUM(BP56:BP59)</f>
        <v>0</v>
      </c>
      <c r="BQ55" s="14">
        <f t="shared" si="16"/>
        <v>1125135.49</v>
      </c>
      <c r="BR55" s="14">
        <f t="shared" si="17"/>
        <v>873586.9</v>
      </c>
      <c r="BS55" s="14">
        <f t="shared" si="17"/>
        <v>895608.4</v>
      </c>
      <c r="BT55" s="14">
        <f>SUM(BT56:BT59)</f>
        <v>0</v>
      </c>
      <c r="BU55" s="14">
        <f t="shared" si="20"/>
        <v>1125135.49</v>
      </c>
      <c r="BV55" s="14">
        <f>SUM(BV56:BV59)</f>
        <v>0</v>
      </c>
    </row>
    <row r="56" spans="1:74" ht="15.75">
      <c r="A56" s="4" t="s">
        <v>57</v>
      </c>
      <c r="B56" s="7" t="s">
        <v>6</v>
      </c>
      <c r="C56" s="5" t="s">
        <v>60</v>
      </c>
      <c r="D56" s="6">
        <v>29257</v>
      </c>
      <c r="E56" s="6">
        <f t="shared" si="18"/>
        <v>979.4000000000015</v>
      </c>
      <c r="F56" s="6">
        <v>30236.4</v>
      </c>
      <c r="G56" s="6">
        <v>31118.5</v>
      </c>
      <c r="H56" s="6">
        <f t="shared" si="19"/>
        <v>2897.5</v>
      </c>
      <c r="I56" s="6">
        <v>34016</v>
      </c>
      <c r="J56" s="6">
        <v>37859.8</v>
      </c>
      <c r="K56" s="6"/>
      <c r="L56" s="6"/>
      <c r="M56" s="6"/>
      <c r="N56" s="6">
        <f t="shared" si="0"/>
        <v>979.4000000000015</v>
      </c>
      <c r="O56" s="6">
        <f t="shared" si="1"/>
        <v>30236.4</v>
      </c>
      <c r="P56" s="6">
        <f t="shared" si="2"/>
        <v>2897.5</v>
      </c>
      <c r="Q56" s="6">
        <f t="shared" si="3"/>
        <v>34016</v>
      </c>
      <c r="R56" s="6">
        <f t="shared" si="3"/>
        <v>37859.8</v>
      </c>
      <c r="S56" s="18"/>
      <c r="T56" s="18"/>
      <c r="U56" s="18"/>
      <c r="V56" s="18">
        <f t="shared" si="4"/>
        <v>30236.4</v>
      </c>
      <c r="W56" s="18">
        <f t="shared" si="5"/>
        <v>34016</v>
      </c>
      <c r="X56" s="18">
        <f t="shared" si="5"/>
        <v>37859.8</v>
      </c>
      <c r="Y56" s="6"/>
      <c r="Z56" s="6"/>
      <c r="AA56" s="6"/>
      <c r="AB56" s="18">
        <f t="shared" si="6"/>
        <v>30236.4</v>
      </c>
      <c r="AC56" s="18">
        <f t="shared" si="6"/>
        <v>34016</v>
      </c>
      <c r="AD56" s="18">
        <f t="shared" si="6"/>
        <v>37859.8</v>
      </c>
      <c r="AE56" s="6"/>
      <c r="AF56" s="18">
        <f t="shared" si="7"/>
        <v>30236.4</v>
      </c>
      <c r="AG56" s="18">
        <f t="shared" si="8"/>
        <v>34016</v>
      </c>
      <c r="AH56" s="18">
        <f t="shared" si="8"/>
        <v>37859.8</v>
      </c>
      <c r="AI56" s="6"/>
      <c r="AJ56" s="6"/>
      <c r="AK56" s="6"/>
      <c r="AL56" s="18">
        <f t="shared" si="9"/>
        <v>30236.4</v>
      </c>
      <c r="AM56" s="18">
        <f t="shared" si="9"/>
        <v>34016</v>
      </c>
      <c r="AN56" s="18">
        <f t="shared" si="9"/>
        <v>37859.8</v>
      </c>
      <c r="AO56" s="6"/>
      <c r="AP56" s="6"/>
      <c r="AQ56" s="6"/>
      <c r="AR56" s="6">
        <f t="shared" si="10"/>
        <v>30236.4</v>
      </c>
      <c r="AS56" s="6">
        <f t="shared" si="10"/>
        <v>34016</v>
      </c>
      <c r="AT56" s="6">
        <f t="shared" si="10"/>
        <v>37859.8</v>
      </c>
      <c r="AU56" s="6"/>
      <c r="AV56" s="6"/>
      <c r="AW56" s="6"/>
      <c r="AX56" s="6">
        <f t="shared" si="11"/>
        <v>30236.4</v>
      </c>
      <c r="AY56" s="6">
        <f t="shared" si="11"/>
        <v>34016</v>
      </c>
      <c r="AZ56" s="6">
        <f t="shared" si="11"/>
        <v>37859.8</v>
      </c>
      <c r="BA56" s="6"/>
      <c r="BB56" s="6"/>
      <c r="BC56" s="6"/>
      <c r="BD56" s="6">
        <f t="shared" si="12"/>
        <v>30236.4</v>
      </c>
      <c r="BE56" s="6">
        <f t="shared" si="12"/>
        <v>34016</v>
      </c>
      <c r="BF56" s="6">
        <f t="shared" si="12"/>
        <v>37859.8</v>
      </c>
      <c r="BG56" s="6"/>
      <c r="BH56" s="6"/>
      <c r="BI56" s="6">
        <f t="shared" si="13"/>
        <v>30236.4</v>
      </c>
      <c r="BJ56" s="6">
        <f t="shared" si="13"/>
        <v>34016</v>
      </c>
      <c r="BK56" s="6">
        <f t="shared" si="14"/>
        <v>37859.8</v>
      </c>
      <c r="BL56" s="6"/>
      <c r="BM56" s="6">
        <f t="shared" si="15"/>
        <v>30236.4</v>
      </c>
      <c r="BN56" s="6"/>
      <c r="BO56" s="6"/>
      <c r="BP56" s="6"/>
      <c r="BQ56" s="6">
        <f t="shared" si="16"/>
        <v>30236.4</v>
      </c>
      <c r="BR56" s="6">
        <f t="shared" si="17"/>
        <v>34016</v>
      </c>
      <c r="BS56" s="6">
        <f t="shared" si="17"/>
        <v>37859.8</v>
      </c>
      <c r="BT56" s="6"/>
      <c r="BU56" s="6">
        <f t="shared" si="20"/>
        <v>30236.4</v>
      </c>
      <c r="BV56" s="6"/>
    </row>
    <row r="57" spans="1:74" ht="15.75">
      <c r="A57" s="4" t="s">
        <v>57</v>
      </c>
      <c r="B57" s="7" t="s">
        <v>11</v>
      </c>
      <c r="C57" s="5" t="s">
        <v>61</v>
      </c>
      <c r="D57" s="6">
        <v>519825.6</v>
      </c>
      <c r="E57" s="6">
        <f t="shared" si="18"/>
        <v>59552.09999999998</v>
      </c>
      <c r="F57" s="6">
        <v>579377.7</v>
      </c>
      <c r="G57" s="6">
        <v>580251.3</v>
      </c>
      <c r="H57" s="6">
        <f t="shared" si="19"/>
        <v>-25240</v>
      </c>
      <c r="I57" s="6">
        <v>555011.3</v>
      </c>
      <c r="J57" s="6">
        <v>556505.3</v>
      </c>
      <c r="K57" s="6"/>
      <c r="L57" s="6"/>
      <c r="M57" s="6"/>
      <c r="N57" s="6">
        <f t="shared" si="0"/>
        <v>59552.09999999998</v>
      </c>
      <c r="O57" s="6">
        <f t="shared" si="1"/>
        <v>579377.7</v>
      </c>
      <c r="P57" s="6">
        <f t="shared" si="2"/>
        <v>-25240</v>
      </c>
      <c r="Q57" s="6">
        <f t="shared" si="3"/>
        <v>555011.3</v>
      </c>
      <c r="R57" s="6">
        <f t="shared" si="3"/>
        <v>556505.3</v>
      </c>
      <c r="S57" s="18">
        <f>27820.8-8243</f>
        <v>19577.8</v>
      </c>
      <c r="T57" s="18">
        <f>-8848</f>
        <v>-8848</v>
      </c>
      <c r="U57" s="18">
        <f>-9411</f>
        <v>-9411</v>
      </c>
      <c r="V57" s="18">
        <f t="shared" si="4"/>
        <v>598955.5</v>
      </c>
      <c r="W57" s="18">
        <f t="shared" si="5"/>
        <v>546163.3</v>
      </c>
      <c r="X57" s="18">
        <f t="shared" si="5"/>
        <v>547094.3</v>
      </c>
      <c r="Y57" s="6"/>
      <c r="Z57" s="6"/>
      <c r="AA57" s="6"/>
      <c r="AB57" s="18">
        <f t="shared" si="6"/>
        <v>598955.5</v>
      </c>
      <c r="AC57" s="18">
        <f t="shared" si="6"/>
        <v>546163.3</v>
      </c>
      <c r="AD57" s="18">
        <f t="shared" si="6"/>
        <v>547094.3</v>
      </c>
      <c r="AE57" s="6"/>
      <c r="AF57" s="18">
        <f t="shared" si="7"/>
        <v>598955.5</v>
      </c>
      <c r="AG57" s="18">
        <f t="shared" si="8"/>
        <v>546163.3</v>
      </c>
      <c r="AH57" s="18">
        <f t="shared" si="8"/>
        <v>547094.3</v>
      </c>
      <c r="AI57" s="6"/>
      <c r="AJ57" s="6"/>
      <c r="AK57" s="6"/>
      <c r="AL57" s="18">
        <f t="shared" si="9"/>
        <v>598955.5</v>
      </c>
      <c r="AM57" s="18">
        <f t="shared" si="9"/>
        <v>546163.3</v>
      </c>
      <c r="AN57" s="18">
        <f t="shared" si="9"/>
        <v>547094.3</v>
      </c>
      <c r="AO57" s="6"/>
      <c r="AP57" s="6"/>
      <c r="AQ57" s="6"/>
      <c r="AR57" s="6">
        <f t="shared" si="10"/>
        <v>598955.5</v>
      </c>
      <c r="AS57" s="6">
        <f t="shared" si="10"/>
        <v>546163.3</v>
      </c>
      <c r="AT57" s="6">
        <f t="shared" si="10"/>
        <v>547094.3</v>
      </c>
      <c r="AU57" s="6">
        <f>21706.264</f>
        <v>21706.264</v>
      </c>
      <c r="AV57" s="6"/>
      <c r="AW57" s="6"/>
      <c r="AX57" s="6">
        <f t="shared" si="11"/>
        <v>620661.764</v>
      </c>
      <c r="AY57" s="6">
        <f t="shared" si="11"/>
        <v>546163.3</v>
      </c>
      <c r="AZ57" s="6">
        <f t="shared" si="11"/>
        <v>547094.3</v>
      </c>
      <c r="BA57" s="6"/>
      <c r="BB57" s="6"/>
      <c r="BC57" s="6"/>
      <c r="BD57" s="6">
        <f t="shared" si="12"/>
        <v>620661.764</v>
      </c>
      <c r="BE57" s="6">
        <f t="shared" si="12"/>
        <v>546163.3</v>
      </c>
      <c r="BF57" s="6">
        <f t="shared" si="12"/>
        <v>547094.3</v>
      </c>
      <c r="BG57" s="6"/>
      <c r="BH57" s="6"/>
      <c r="BI57" s="6">
        <f t="shared" si="13"/>
        <v>620661.764</v>
      </c>
      <c r="BJ57" s="6">
        <f t="shared" si="13"/>
        <v>546163.3</v>
      </c>
      <c r="BK57" s="6">
        <f t="shared" si="14"/>
        <v>547094.3</v>
      </c>
      <c r="BL57" s="6"/>
      <c r="BM57" s="6">
        <f t="shared" si="15"/>
        <v>620661.764</v>
      </c>
      <c r="BN57" s="6">
        <v>180211.1</v>
      </c>
      <c r="BO57" s="6"/>
      <c r="BP57" s="6"/>
      <c r="BQ57" s="6">
        <f t="shared" si="16"/>
        <v>800872.864</v>
      </c>
      <c r="BR57" s="6">
        <f t="shared" si="17"/>
        <v>546163.3</v>
      </c>
      <c r="BS57" s="6">
        <f t="shared" si="17"/>
        <v>547094.3</v>
      </c>
      <c r="BT57" s="6"/>
      <c r="BU57" s="6">
        <f t="shared" si="20"/>
        <v>800872.864</v>
      </c>
      <c r="BV57" s="6"/>
    </row>
    <row r="58" spans="1:74" ht="15.75">
      <c r="A58" s="4" t="s">
        <v>57</v>
      </c>
      <c r="B58" s="4" t="s">
        <v>13</v>
      </c>
      <c r="C58" s="5" t="s">
        <v>62</v>
      </c>
      <c r="D58" s="6">
        <v>187185</v>
      </c>
      <c r="E58" s="6">
        <f t="shared" si="18"/>
        <v>-158720</v>
      </c>
      <c r="F58" s="6">
        <v>28465</v>
      </c>
      <c r="G58" s="6">
        <v>204380</v>
      </c>
      <c r="H58" s="6">
        <f t="shared" si="19"/>
        <v>-176326</v>
      </c>
      <c r="I58" s="6">
        <v>28054</v>
      </c>
      <c r="J58" s="6">
        <v>27992</v>
      </c>
      <c r="K58" s="6"/>
      <c r="L58" s="6"/>
      <c r="M58" s="6"/>
      <c r="N58" s="6">
        <f t="shared" si="0"/>
        <v>-158720</v>
      </c>
      <c r="O58" s="6">
        <f t="shared" si="1"/>
        <v>28465</v>
      </c>
      <c r="P58" s="6">
        <f t="shared" si="2"/>
        <v>-176326</v>
      </c>
      <c r="Q58" s="6">
        <f t="shared" si="3"/>
        <v>28054</v>
      </c>
      <c r="R58" s="6">
        <f t="shared" si="3"/>
        <v>27992</v>
      </c>
      <c r="S58" s="18">
        <v>82685</v>
      </c>
      <c r="T58" s="18">
        <v>93027</v>
      </c>
      <c r="U58" s="18">
        <v>103536</v>
      </c>
      <c r="V58" s="18">
        <f t="shared" si="4"/>
        <v>111150</v>
      </c>
      <c r="W58" s="18">
        <f t="shared" si="5"/>
        <v>121081</v>
      </c>
      <c r="X58" s="18">
        <f t="shared" si="5"/>
        <v>131528</v>
      </c>
      <c r="Y58" s="6"/>
      <c r="Z58" s="6"/>
      <c r="AA58" s="6"/>
      <c r="AB58" s="18">
        <f t="shared" si="6"/>
        <v>111150</v>
      </c>
      <c r="AC58" s="18">
        <f t="shared" si="6"/>
        <v>121081</v>
      </c>
      <c r="AD58" s="18">
        <f t="shared" si="6"/>
        <v>131528</v>
      </c>
      <c r="AE58" s="6"/>
      <c r="AF58" s="18">
        <f t="shared" si="7"/>
        <v>111150</v>
      </c>
      <c r="AG58" s="18">
        <f t="shared" si="8"/>
        <v>121081</v>
      </c>
      <c r="AH58" s="18">
        <f t="shared" si="8"/>
        <v>131528</v>
      </c>
      <c r="AI58" s="6"/>
      <c r="AJ58" s="6"/>
      <c r="AK58" s="6"/>
      <c r="AL58" s="18">
        <f t="shared" si="9"/>
        <v>111150</v>
      </c>
      <c r="AM58" s="18">
        <f t="shared" si="9"/>
        <v>121081</v>
      </c>
      <c r="AN58" s="18">
        <f t="shared" si="9"/>
        <v>131528</v>
      </c>
      <c r="AO58" s="6"/>
      <c r="AP58" s="6"/>
      <c r="AQ58" s="6"/>
      <c r="AR58" s="6">
        <f t="shared" si="10"/>
        <v>111150</v>
      </c>
      <c r="AS58" s="6">
        <f t="shared" si="10"/>
        <v>121081</v>
      </c>
      <c r="AT58" s="6">
        <f t="shared" si="10"/>
        <v>131528</v>
      </c>
      <c r="AU58" s="6"/>
      <c r="AV58" s="6"/>
      <c r="AW58" s="6"/>
      <c r="AX58" s="6">
        <f t="shared" si="11"/>
        <v>111150</v>
      </c>
      <c r="AY58" s="6">
        <f t="shared" si="11"/>
        <v>121081</v>
      </c>
      <c r="AZ58" s="6">
        <f t="shared" si="11"/>
        <v>131528</v>
      </c>
      <c r="BA58" s="6"/>
      <c r="BB58" s="6"/>
      <c r="BC58" s="6"/>
      <c r="BD58" s="6">
        <f t="shared" si="12"/>
        <v>111150</v>
      </c>
      <c r="BE58" s="6">
        <f t="shared" si="12"/>
        <v>121081</v>
      </c>
      <c r="BF58" s="6">
        <f t="shared" si="12"/>
        <v>131528</v>
      </c>
      <c r="BG58" s="6"/>
      <c r="BH58" s="6"/>
      <c r="BI58" s="6">
        <f t="shared" si="13"/>
        <v>111150</v>
      </c>
      <c r="BJ58" s="6">
        <f t="shared" si="13"/>
        <v>121081</v>
      </c>
      <c r="BK58" s="6">
        <f t="shared" si="14"/>
        <v>131528</v>
      </c>
      <c r="BL58" s="6"/>
      <c r="BM58" s="6">
        <f t="shared" si="15"/>
        <v>111150</v>
      </c>
      <c r="BN58" s="6"/>
      <c r="BO58" s="6"/>
      <c r="BP58" s="6"/>
      <c r="BQ58" s="6">
        <f t="shared" si="16"/>
        <v>111150</v>
      </c>
      <c r="BR58" s="6">
        <f t="shared" si="17"/>
        <v>121081</v>
      </c>
      <c r="BS58" s="6">
        <f t="shared" si="17"/>
        <v>131528</v>
      </c>
      <c r="BT58" s="6"/>
      <c r="BU58" s="6">
        <f t="shared" si="20"/>
        <v>111150</v>
      </c>
      <c r="BV58" s="6"/>
    </row>
    <row r="59" spans="1:74" ht="15.75">
      <c r="A59" s="4" t="s">
        <v>57</v>
      </c>
      <c r="B59" s="7" t="s">
        <v>15</v>
      </c>
      <c r="C59" s="5" t="s">
        <v>63</v>
      </c>
      <c r="D59" s="6">
        <v>119853.5</v>
      </c>
      <c r="E59" s="6">
        <f t="shared" si="18"/>
        <v>2807.399999999994</v>
      </c>
      <c r="F59" s="6">
        <v>122660.9</v>
      </c>
      <c r="G59" s="6">
        <v>129133.9</v>
      </c>
      <c r="H59" s="6">
        <f t="shared" si="19"/>
        <v>-5864.299999999988</v>
      </c>
      <c r="I59" s="6">
        <v>123269.6</v>
      </c>
      <c r="J59" s="6">
        <v>129428.6</v>
      </c>
      <c r="K59" s="6">
        <f>4609.8+6071.8+23036.1+663.7+2229.3+431.7+7023.3+36+1555.9+165.65+224.15+2105.05-600</f>
        <v>47552.450000000004</v>
      </c>
      <c r="L59" s="11">
        <f>4573.1+6434.7+29095+705.8+2229.3+459.1+7518-840</f>
        <v>50175.00000000001</v>
      </c>
      <c r="M59" s="6">
        <f>4573.1+6434.7+29644.4+705.8+2229.3+459.1+7624.3-855</f>
        <v>50815.700000000004</v>
      </c>
      <c r="N59" s="6">
        <f t="shared" si="0"/>
        <v>50359.85</v>
      </c>
      <c r="O59" s="6">
        <f t="shared" si="1"/>
        <v>170213.35</v>
      </c>
      <c r="P59" s="6">
        <f t="shared" si="2"/>
        <v>44310.70000000002</v>
      </c>
      <c r="Q59" s="6">
        <f t="shared" si="3"/>
        <v>173444.6</v>
      </c>
      <c r="R59" s="6">
        <f t="shared" si="3"/>
        <v>180244.30000000002</v>
      </c>
      <c r="S59" s="18">
        <f>3111.8+331.3+448.3+4210.1</f>
        <v>8101.500000000001</v>
      </c>
      <c r="T59" s="18"/>
      <c r="U59" s="18"/>
      <c r="V59" s="18">
        <f t="shared" si="4"/>
        <v>178314.85</v>
      </c>
      <c r="W59" s="18">
        <f t="shared" si="5"/>
        <v>173444.6</v>
      </c>
      <c r="X59" s="18">
        <f t="shared" si="5"/>
        <v>180244.30000000002</v>
      </c>
      <c r="Y59" s="6"/>
      <c r="Z59" s="6"/>
      <c r="AA59" s="6"/>
      <c r="AB59" s="18">
        <f t="shared" si="6"/>
        <v>178314.85</v>
      </c>
      <c r="AC59" s="18">
        <f t="shared" si="6"/>
        <v>173444.6</v>
      </c>
      <c r="AD59" s="18">
        <f t="shared" si="6"/>
        <v>180244.30000000002</v>
      </c>
      <c r="AE59" s="6"/>
      <c r="AF59" s="18">
        <f t="shared" si="7"/>
        <v>178314.85</v>
      </c>
      <c r="AG59" s="18">
        <f t="shared" si="8"/>
        <v>173444.6</v>
      </c>
      <c r="AH59" s="18">
        <f t="shared" si="8"/>
        <v>180244.30000000002</v>
      </c>
      <c r="AI59" s="6">
        <f>-1119.2</f>
        <v>-1119.2</v>
      </c>
      <c r="AJ59" s="6">
        <v>-1118</v>
      </c>
      <c r="AK59" s="6">
        <v>-1118</v>
      </c>
      <c r="AL59" s="18">
        <f t="shared" si="9"/>
        <v>177195.65</v>
      </c>
      <c r="AM59" s="18">
        <f t="shared" si="9"/>
        <v>172326.6</v>
      </c>
      <c r="AN59" s="18">
        <f t="shared" si="9"/>
        <v>179126.30000000002</v>
      </c>
      <c r="AO59" s="6"/>
      <c r="AP59" s="6"/>
      <c r="AQ59" s="6"/>
      <c r="AR59" s="6">
        <f t="shared" si="10"/>
        <v>177195.65</v>
      </c>
      <c r="AS59" s="6">
        <f t="shared" si="10"/>
        <v>172326.6</v>
      </c>
      <c r="AT59" s="6">
        <f t="shared" si="10"/>
        <v>179126.30000000002</v>
      </c>
      <c r="AU59" s="6">
        <f>0.328+866.8+162.148+4255.1</f>
        <v>5284.376</v>
      </c>
      <c r="AV59" s="6"/>
      <c r="AW59" s="6"/>
      <c r="AX59" s="6">
        <f t="shared" si="11"/>
        <v>182480.02599999998</v>
      </c>
      <c r="AY59" s="6">
        <f t="shared" si="11"/>
        <v>172326.6</v>
      </c>
      <c r="AZ59" s="6">
        <f t="shared" si="11"/>
        <v>179126.30000000002</v>
      </c>
      <c r="BA59" s="6"/>
      <c r="BB59" s="6"/>
      <c r="BC59" s="6"/>
      <c r="BD59" s="6">
        <f t="shared" si="12"/>
        <v>182480.02599999998</v>
      </c>
      <c r="BE59" s="6">
        <f t="shared" si="12"/>
        <v>172326.6</v>
      </c>
      <c r="BF59" s="6">
        <f t="shared" si="12"/>
        <v>179126.30000000002</v>
      </c>
      <c r="BG59" s="6">
        <f>37.109+396.2-37.109</f>
        <v>396.2</v>
      </c>
      <c r="BH59" s="6"/>
      <c r="BI59" s="6">
        <f t="shared" si="13"/>
        <v>182876.226</v>
      </c>
      <c r="BJ59" s="6">
        <f t="shared" si="13"/>
        <v>172326.6</v>
      </c>
      <c r="BK59" s="6">
        <f t="shared" si="14"/>
        <v>179126.30000000002</v>
      </c>
      <c r="BL59" s="6"/>
      <c r="BM59" s="6">
        <f t="shared" si="15"/>
        <v>182876.226</v>
      </c>
      <c r="BN59" s="6"/>
      <c r="BO59" s="6"/>
      <c r="BP59" s="6"/>
      <c r="BQ59" s="6">
        <f t="shared" si="16"/>
        <v>182876.226</v>
      </c>
      <c r="BR59" s="6">
        <f t="shared" si="17"/>
        <v>172326.6</v>
      </c>
      <c r="BS59" s="6">
        <f t="shared" si="17"/>
        <v>179126.30000000002</v>
      </c>
      <c r="BT59" s="6"/>
      <c r="BU59" s="6">
        <f t="shared" si="20"/>
        <v>182876.226</v>
      </c>
      <c r="BV59" s="6"/>
    </row>
    <row r="60" spans="1:74" s="15" customFormat="1" ht="15.75">
      <c r="A60" s="12" t="s">
        <v>19</v>
      </c>
      <c r="B60" s="12" t="s">
        <v>7</v>
      </c>
      <c r="C60" s="13" t="s">
        <v>64</v>
      </c>
      <c r="D60" s="14">
        <f>SUM(D61:D62)</f>
        <v>519203.2</v>
      </c>
      <c r="E60" s="14">
        <f t="shared" si="18"/>
        <v>-18236.900000000023</v>
      </c>
      <c r="F60" s="14">
        <f>SUM(F61:F62)</f>
        <v>500966.3</v>
      </c>
      <c r="G60" s="14">
        <f>SUM(G61:G62)</f>
        <v>569801.9</v>
      </c>
      <c r="H60" s="14">
        <f t="shared" si="19"/>
        <v>-26910.099999999977</v>
      </c>
      <c r="I60" s="14">
        <f>SUM(I61:I62)</f>
        <v>542891.8</v>
      </c>
      <c r="J60" s="14">
        <f>SUM(J61:J62)</f>
        <v>579471.2</v>
      </c>
      <c r="K60" s="14">
        <f>SUM(K61:K62)</f>
        <v>0</v>
      </c>
      <c r="L60" s="14">
        <f>SUM(L61:L62)</f>
        <v>0</v>
      </c>
      <c r="M60" s="14">
        <f>SUM(M61:M62)</f>
        <v>0</v>
      </c>
      <c r="N60" s="14">
        <f t="shared" si="0"/>
        <v>-18236.900000000023</v>
      </c>
      <c r="O60" s="14">
        <f t="shared" si="1"/>
        <v>500966.3</v>
      </c>
      <c r="P60" s="14">
        <f t="shared" si="2"/>
        <v>-26910.099999999977</v>
      </c>
      <c r="Q60" s="14">
        <f t="shared" si="3"/>
        <v>542891.8</v>
      </c>
      <c r="R60" s="14">
        <f t="shared" si="3"/>
        <v>579471.2</v>
      </c>
      <c r="S60" s="17">
        <f>SUM(S61:S62)</f>
        <v>0</v>
      </c>
      <c r="T60" s="17">
        <f>SUM(T61:T62)</f>
        <v>0</v>
      </c>
      <c r="U60" s="17">
        <f>SUM(U61:U62)</f>
        <v>0</v>
      </c>
      <c r="V60" s="17">
        <f t="shared" si="4"/>
        <v>500966.3</v>
      </c>
      <c r="W60" s="17">
        <f t="shared" si="5"/>
        <v>542891.8</v>
      </c>
      <c r="X60" s="17">
        <f t="shared" si="5"/>
        <v>579471.2</v>
      </c>
      <c r="Y60" s="14">
        <f>SUM(Y61:Y62)</f>
        <v>0</v>
      </c>
      <c r="Z60" s="14">
        <f>SUM(Z61:Z62)</f>
        <v>0</v>
      </c>
      <c r="AA60" s="14">
        <f>SUM(AA61:AA62)</f>
        <v>0</v>
      </c>
      <c r="AB60" s="17">
        <f t="shared" si="6"/>
        <v>500966.3</v>
      </c>
      <c r="AC60" s="17">
        <f t="shared" si="6"/>
        <v>542891.8</v>
      </c>
      <c r="AD60" s="17">
        <f t="shared" si="6"/>
        <v>579471.2</v>
      </c>
      <c r="AE60" s="14">
        <f>SUM(AE61:AE62)</f>
        <v>0</v>
      </c>
      <c r="AF60" s="17">
        <f t="shared" si="7"/>
        <v>500966.3</v>
      </c>
      <c r="AG60" s="17">
        <f t="shared" si="8"/>
        <v>542891.8</v>
      </c>
      <c r="AH60" s="17">
        <f t="shared" si="8"/>
        <v>579471.2</v>
      </c>
      <c r="AI60" s="14">
        <f>SUM(AI61:AI62)</f>
        <v>0</v>
      </c>
      <c r="AJ60" s="14">
        <f>SUM(AJ61:AJ62)</f>
        <v>0</v>
      </c>
      <c r="AK60" s="14">
        <f>SUM(AK61:AK62)</f>
        <v>0</v>
      </c>
      <c r="AL60" s="17">
        <f t="shared" si="9"/>
        <v>500966.3</v>
      </c>
      <c r="AM60" s="17">
        <f t="shared" si="9"/>
        <v>542891.8</v>
      </c>
      <c r="AN60" s="17">
        <f t="shared" si="9"/>
        <v>579471.2</v>
      </c>
      <c r="AO60" s="14">
        <f>SUM(AO61:AO62)</f>
        <v>0</v>
      </c>
      <c r="AP60" s="14">
        <f>SUM(AP61:AP62)</f>
        <v>0</v>
      </c>
      <c r="AQ60" s="14">
        <f>SUM(AQ61:AQ62)</f>
        <v>0</v>
      </c>
      <c r="AR60" s="14">
        <f t="shared" si="10"/>
        <v>500966.3</v>
      </c>
      <c r="AS60" s="14">
        <f t="shared" si="10"/>
        <v>542891.8</v>
      </c>
      <c r="AT60" s="14">
        <f t="shared" si="10"/>
        <v>579471.2</v>
      </c>
      <c r="AU60" s="14">
        <f>SUM(AU61:AU62)</f>
        <v>0</v>
      </c>
      <c r="AV60" s="14">
        <f>SUM(AV61:AV62)</f>
        <v>0</v>
      </c>
      <c r="AW60" s="14">
        <f>SUM(AW61:AW62)</f>
        <v>0</v>
      </c>
      <c r="AX60" s="14">
        <f t="shared" si="11"/>
        <v>500966.3</v>
      </c>
      <c r="AY60" s="14">
        <f t="shared" si="11"/>
        <v>542891.8</v>
      </c>
      <c r="AZ60" s="14">
        <f t="shared" si="11"/>
        <v>579471.2</v>
      </c>
      <c r="BA60" s="14">
        <f>SUM(BA61:BA62)</f>
        <v>0</v>
      </c>
      <c r="BB60" s="14">
        <f>SUM(BB61:BB62)</f>
        <v>0</v>
      </c>
      <c r="BC60" s="14">
        <f>SUM(BC61:BC62)</f>
        <v>0</v>
      </c>
      <c r="BD60" s="14">
        <f t="shared" si="12"/>
        <v>500966.3</v>
      </c>
      <c r="BE60" s="14">
        <f t="shared" si="12"/>
        <v>542891.8</v>
      </c>
      <c r="BF60" s="14">
        <f t="shared" si="12"/>
        <v>579471.2</v>
      </c>
      <c r="BG60" s="14">
        <f>SUM(BG61:BG62)</f>
        <v>0</v>
      </c>
      <c r="BH60" s="14">
        <f>SUM(BH61:BH62)</f>
        <v>0</v>
      </c>
      <c r="BI60" s="14">
        <f t="shared" si="13"/>
        <v>500966.3</v>
      </c>
      <c r="BJ60" s="14">
        <f t="shared" si="13"/>
        <v>542891.8</v>
      </c>
      <c r="BK60" s="14">
        <f t="shared" si="14"/>
        <v>579471.2</v>
      </c>
      <c r="BL60" s="14">
        <f>SUM(BL61:BL62)</f>
        <v>0</v>
      </c>
      <c r="BM60" s="14">
        <f t="shared" si="15"/>
        <v>500966.3</v>
      </c>
      <c r="BN60" s="14">
        <f>SUM(BN61:BN62)</f>
        <v>0</v>
      </c>
      <c r="BO60" s="14">
        <f>SUM(BO61:BO62)</f>
        <v>0</v>
      </c>
      <c r="BP60" s="14">
        <f>SUM(BP61:BP62)</f>
        <v>0</v>
      </c>
      <c r="BQ60" s="14">
        <f t="shared" si="16"/>
        <v>500966.3</v>
      </c>
      <c r="BR60" s="14">
        <f t="shared" si="17"/>
        <v>542891.8</v>
      </c>
      <c r="BS60" s="14">
        <f t="shared" si="17"/>
        <v>579471.2</v>
      </c>
      <c r="BT60" s="14">
        <f>SUM(BT61:BT62)</f>
        <v>0</v>
      </c>
      <c r="BU60" s="14">
        <f t="shared" si="20"/>
        <v>500966.3</v>
      </c>
      <c r="BV60" s="14">
        <f>SUM(BV61:BV62)</f>
        <v>0</v>
      </c>
    </row>
    <row r="61" spans="1:74" ht="31.5" hidden="1">
      <c r="A61" s="9">
        <v>11</v>
      </c>
      <c r="B61" s="7" t="s">
        <v>9</v>
      </c>
      <c r="C61" s="5" t="s">
        <v>65</v>
      </c>
      <c r="D61" s="6">
        <v>519203.2</v>
      </c>
      <c r="E61" s="6">
        <f t="shared" si="18"/>
        <v>-519203.2</v>
      </c>
      <c r="F61" s="6"/>
      <c r="G61" s="6">
        <v>569801.9</v>
      </c>
      <c r="H61" s="6">
        <f t="shared" si="19"/>
        <v>-569801.9</v>
      </c>
      <c r="I61" s="6"/>
      <c r="J61" s="6"/>
      <c r="K61" s="6"/>
      <c r="L61" s="6"/>
      <c r="M61" s="6"/>
      <c r="N61" s="6">
        <f t="shared" si="0"/>
        <v>-519203.2</v>
      </c>
      <c r="O61" s="6">
        <f t="shared" si="1"/>
        <v>0</v>
      </c>
      <c r="P61" s="6">
        <f t="shared" si="2"/>
        <v>-569801.9</v>
      </c>
      <c r="Q61" s="6">
        <f t="shared" si="3"/>
        <v>0</v>
      </c>
      <c r="R61" s="6">
        <f t="shared" si="3"/>
        <v>0</v>
      </c>
      <c r="S61" s="18"/>
      <c r="T61" s="18"/>
      <c r="U61" s="18"/>
      <c r="V61" s="18">
        <f t="shared" si="4"/>
        <v>0</v>
      </c>
      <c r="W61" s="18">
        <f t="shared" si="5"/>
        <v>0</v>
      </c>
      <c r="X61" s="18">
        <f t="shared" si="5"/>
        <v>0</v>
      </c>
      <c r="Y61" s="6"/>
      <c r="Z61" s="6"/>
      <c r="AA61" s="6"/>
      <c r="AB61" s="18">
        <f t="shared" si="6"/>
        <v>0</v>
      </c>
      <c r="AC61" s="18">
        <f t="shared" si="6"/>
        <v>0</v>
      </c>
      <c r="AD61" s="18">
        <f t="shared" si="6"/>
        <v>0</v>
      </c>
      <c r="AE61" s="6"/>
      <c r="AF61" s="18">
        <f t="shared" si="7"/>
        <v>0</v>
      </c>
      <c r="AG61" s="18">
        <f t="shared" si="8"/>
        <v>0</v>
      </c>
      <c r="AH61" s="18">
        <f t="shared" si="8"/>
        <v>0</v>
      </c>
      <c r="AI61" s="6"/>
      <c r="AJ61" s="6"/>
      <c r="AK61" s="6"/>
      <c r="AL61" s="18">
        <f t="shared" si="9"/>
        <v>0</v>
      </c>
      <c r="AM61" s="18">
        <f t="shared" si="9"/>
        <v>0</v>
      </c>
      <c r="AN61" s="18">
        <f t="shared" si="9"/>
        <v>0</v>
      </c>
      <c r="AO61" s="6"/>
      <c r="AP61" s="6"/>
      <c r="AQ61" s="6"/>
      <c r="AR61" s="6">
        <f t="shared" si="10"/>
        <v>0</v>
      </c>
      <c r="AS61" s="6">
        <f t="shared" si="10"/>
        <v>0</v>
      </c>
      <c r="AT61" s="6">
        <f t="shared" si="10"/>
        <v>0</v>
      </c>
      <c r="AU61" s="6"/>
      <c r="AV61" s="6"/>
      <c r="AW61" s="6"/>
      <c r="AX61" s="6">
        <f t="shared" si="11"/>
        <v>0</v>
      </c>
      <c r="AY61" s="6">
        <f t="shared" si="11"/>
        <v>0</v>
      </c>
      <c r="AZ61" s="6">
        <f t="shared" si="11"/>
        <v>0</v>
      </c>
      <c r="BA61" s="6"/>
      <c r="BB61" s="6"/>
      <c r="BC61" s="6"/>
      <c r="BD61" s="6">
        <f t="shared" si="12"/>
        <v>0</v>
      </c>
      <c r="BE61" s="6">
        <f t="shared" si="12"/>
        <v>0</v>
      </c>
      <c r="BF61" s="6">
        <f t="shared" si="12"/>
        <v>0</v>
      </c>
      <c r="BG61" s="6"/>
      <c r="BH61" s="6"/>
      <c r="BI61" s="6">
        <f t="shared" si="13"/>
        <v>0</v>
      </c>
      <c r="BJ61" s="6">
        <f t="shared" si="13"/>
        <v>0</v>
      </c>
      <c r="BK61" s="6">
        <f t="shared" si="14"/>
        <v>0</v>
      </c>
      <c r="BL61" s="6"/>
      <c r="BM61" s="6">
        <f t="shared" si="15"/>
        <v>0</v>
      </c>
      <c r="BN61" s="6"/>
      <c r="BO61" s="6"/>
      <c r="BP61" s="6"/>
      <c r="BQ61" s="6">
        <f t="shared" si="16"/>
        <v>0</v>
      </c>
      <c r="BR61" s="6">
        <f t="shared" si="17"/>
        <v>0</v>
      </c>
      <c r="BS61" s="6">
        <f t="shared" si="17"/>
        <v>0</v>
      </c>
      <c r="BT61" s="6"/>
      <c r="BU61" s="6">
        <f t="shared" si="20"/>
        <v>0</v>
      </c>
      <c r="BV61" s="6"/>
    </row>
    <row r="62" spans="1:74" ht="15.75">
      <c r="A62" s="9">
        <v>11</v>
      </c>
      <c r="B62" s="7" t="s">
        <v>13</v>
      </c>
      <c r="C62" s="5" t="s">
        <v>73</v>
      </c>
      <c r="D62" s="6"/>
      <c r="E62" s="6">
        <f t="shared" si="18"/>
        <v>500966.3</v>
      </c>
      <c r="F62" s="6">
        <v>500966.3</v>
      </c>
      <c r="G62" s="6"/>
      <c r="H62" s="6">
        <f t="shared" si="19"/>
        <v>542891.8</v>
      </c>
      <c r="I62" s="6">
        <v>542891.8</v>
      </c>
      <c r="J62" s="6">
        <v>579471.2</v>
      </c>
      <c r="K62" s="6"/>
      <c r="L62" s="6"/>
      <c r="M62" s="6"/>
      <c r="N62" s="6">
        <f t="shared" si="0"/>
        <v>500966.3</v>
      </c>
      <c r="O62" s="6">
        <f t="shared" si="1"/>
        <v>500966.3</v>
      </c>
      <c r="P62" s="6">
        <f t="shared" si="2"/>
        <v>542891.8</v>
      </c>
      <c r="Q62" s="6">
        <f t="shared" si="3"/>
        <v>542891.8</v>
      </c>
      <c r="R62" s="6">
        <f t="shared" si="3"/>
        <v>579471.2</v>
      </c>
      <c r="S62" s="18"/>
      <c r="T62" s="18"/>
      <c r="U62" s="18"/>
      <c r="V62" s="18">
        <f t="shared" si="4"/>
        <v>500966.3</v>
      </c>
      <c r="W62" s="18">
        <f t="shared" si="5"/>
        <v>542891.8</v>
      </c>
      <c r="X62" s="18">
        <f t="shared" si="5"/>
        <v>579471.2</v>
      </c>
      <c r="Y62" s="6"/>
      <c r="Z62" s="6"/>
      <c r="AA62" s="6"/>
      <c r="AB62" s="18">
        <f t="shared" si="6"/>
        <v>500966.3</v>
      </c>
      <c r="AC62" s="18">
        <f t="shared" si="6"/>
        <v>542891.8</v>
      </c>
      <c r="AD62" s="18">
        <f t="shared" si="6"/>
        <v>579471.2</v>
      </c>
      <c r="AE62" s="6"/>
      <c r="AF62" s="18">
        <f t="shared" si="7"/>
        <v>500966.3</v>
      </c>
      <c r="AG62" s="18">
        <f t="shared" si="8"/>
        <v>542891.8</v>
      </c>
      <c r="AH62" s="18">
        <f t="shared" si="8"/>
        <v>579471.2</v>
      </c>
      <c r="AI62" s="6"/>
      <c r="AJ62" s="6"/>
      <c r="AK62" s="6"/>
      <c r="AL62" s="18">
        <f t="shared" si="9"/>
        <v>500966.3</v>
      </c>
      <c r="AM62" s="18">
        <f t="shared" si="9"/>
        <v>542891.8</v>
      </c>
      <c r="AN62" s="18">
        <f t="shared" si="9"/>
        <v>579471.2</v>
      </c>
      <c r="AO62" s="6"/>
      <c r="AP62" s="6"/>
      <c r="AQ62" s="6"/>
      <c r="AR62" s="6">
        <f t="shared" si="10"/>
        <v>500966.3</v>
      </c>
      <c r="AS62" s="6">
        <f t="shared" si="10"/>
        <v>542891.8</v>
      </c>
      <c r="AT62" s="6">
        <f t="shared" si="10"/>
        <v>579471.2</v>
      </c>
      <c r="AU62" s="6"/>
      <c r="AV62" s="6"/>
      <c r="AW62" s="6"/>
      <c r="AX62" s="6">
        <f t="shared" si="11"/>
        <v>500966.3</v>
      </c>
      <c r="AY62" s="6">
        <f t="shared" si="11"/>
        <v>542891.8</v>
      </c>
      <c r="AZ62" s="6">
        <f t="shared" si="11"/>
        <v>579471.2</v>
      </c>
      <c r="BA62" s="6"/>
      <c r="BB62" s="6"/>
      <c r="BC62" s="6"/>
      <c r="BD62" s="6">
        <f t="shared" si="12"/>
        <v>500966.3</v>
      </c>
      <c r="BE62" s="6">
        <f t="shared" si="12"/>
        <v>542891.8</v>
      </c>
      <c r="BF62" s="6">
        <f t="shared" si="12"/>
        <v>579471.2</v>
      </c>
      <c r="BG62" s="6"/>
      <c r="BH62" s="6"/>
      <c r="BI62" s="6">
        <f t="shared" si="13"/>
        <v>500966.3</v>
      </c>
      <c r="BJ62" s="6">
        <f t="shared" si="13"/>
        <v>542891.8</v>
      </c>
      <c r="BK62" s="6">
        <f t="shared" si="14"/>
        <v>579471.2</v>
      </c>
      <c r="BL62" s="6"/>
      <c r="BM62" s="6">
        <f t="shared" si="15"/>
        <v>500966.3</v>
      </c>
      <c r="BN62" s="6"/>
      <c r="BO62" s="6"/>
      <c r="BP62" s="6"/>
      <c r="BQ62" s="6">
        <f t="shared" si="16"/>
        <v>500966.3</v>
      </c>
      <c r="BR62" s="6">
        <f t="shared" si="17"/>
        <v>542891.8</v>
      </c>
      <c r="BS62" s="6">
        <f t="shared" si="17"/>
        <v>579471.2</v>
      </c>
      <c r="BT62" s="6"/>
      <c r="BU62" s="6">
        <f t="shared" si="20"/>
        <v>500966.3</v>
      </c>
      <c r="BV62" s="6"/>
    </row>
    <row r="63" spans="1:74" s="15" customFormat="1" ht="15.75" hidden="1">
      <c r="A63" s="24" t="s">
        <v>66</v>
      </c>
      <c r="B63" s="24" t="s">
        <v>66</v>
      </c>
      <c r="C63" s="13" t="s">
        <v>67</v>
      </c>
      <c r="D63" s="14">
        <v>632225.8</v>
      </c>
      <c r="E63" s="14">
        <f t="shared" si="18"/>
        <v>-632225.8</v>
      </c>
      <c r="F63" s="14"/>
      <c r="G63" s="14">
        <v>1365558.4</v>
      </c>
      <c r="H63" s="14">
        <f t="shared" si="19"/>
        <v>-766472.5999999999</v>
      </c>
      <c r="I63" s="14">
        <v>599085.8</v>
      </c>
      <c r="J63" s="14">
        <v>1122434.5</v>
      </c>
      <c r="K63" s="14"/>
      <c r="L63" s="14"/>
      <c r="M63" s="14"/>
      <c r="N63" s="14">
        <f t="shared" si="0"/>
        <v>-632225.8</v>
      </c>
      <c r="O63" s="14">
        <f t="shared" si="1"/>
        <v>0</v>
      </c>
      <c r="P63" s="14">
        <f t="shared" si="2"/>
        <v>-766472.5999999999</v>
      </c>
      <c r="Q63" s="14">
        <f t="shared" si="3"/>
        <v>599085.8</v>
      </c>
      <c r="R63" s="14">
        <f t="shared" si="3"/>
        <v>1122434.5</v>
      </c>
      <c r="S63" s="17"/>
      <c r="T63" s="17">
        <v>10618.2</v>
      </c>
      <c r="U63" s="17">
        <v>11973.2</v>
      </c>
      <c r="V63" s="17">
        <f t="shared" si="4"/>
        <v>0</v>
      </c>
      <c r="W63" s="17">
        <f t="shared" si="5"/>
        <v>609704</v>
      </c>
      <c r="X63" s="17">
        <f t="shared" si="5"/>
        <v>1134407.7</v>
      </c>
      <c r="Y63" s="14"/>
      <c r="Z63" s="14"/>
      <c r="AA63" s="14"/>
      <c r="AB63" s="17">
        <f t="shared" si="6"/>
        <v>0</v>
      </c>
      <c r="AC63" s="17">
        <f t="shared" si="6"/>
        <v>609704</v>
      </c>
      <c r="AD63" s="17">
        <f t="shared" si="6"/>
        <v>1134407.7</v>
      </c>
      <c r="AE63" s="14"/>
      <c r="AF63" s="18">
        <f t="shared" si="7"/>
        <v>0</v>
      </c>
      <c r="AG63" s="18">
        <f t="shared" si="8"/>
        <v>609704</v>
      </c>
      <c r="AH63" s="18">
        <f t="shared" si="8"/>
        <v>1134407.7</v>
      </c>
      <c r="AI63" s="14"/>
      <c r="AJ63" s="14">
        <v>-2050.9</v>
      </c>
      <c r="AK63" s="14">
        <v>-2050.9</v>
      </c>
      <c r="AL63" s="17">
        <f t="shared" si="9"/>
        <v>0</v>
      </c>
      <c r="AM63" s="17">
        <f t="shared" si="9"/>
        <v>607653.1</v>
      </c>
      <c r="AN63" s="17">
        <f t="shared" si="9"/>
        <v>1132356.8</v>
      </c>
      <c r="AO63" s="14"/>
      <c r="AP63" s="14"/>
      <c r="AQ63" s="14"/>
      <c r="AR63" s="14">
        <f t="shared" si="10"/>
        <v>0</v>
      </c>
      <c r="AS63" s="14">
        <f t="shared" si="10"/>
        <v>607653.1</v>
      </c>
      <c r="AT63" s="14">
        <f t="shared" si="10"/>
        <v>1132356.8</v>
      </c>
      <c r="AU63" s="14"/>
      <c r="AV63" s="14">
        <v>247043.8</v>
      </c>
      <c r="AW63" s="14">
        <v>408093.6</v>
      </c>
      <c r="AX63" s="14">
        <f t="shared" si="11"/>
        <v>0</v>
      </c>
      <c r="AY63" s="14">
        <f t="shared" si="11"/>
        <v>854696.8999999999</v>
      </c>
      <c r="AZ63" s="14">
        <f t="shared" si="11"/>
        <v>1540450.4</v>
      </c>
      <c r="BA63" s="14"/>
      <c r="BB63" s="14"/>
      <c r="BC63" s="14"/>
      <c r="BD63" s="14">
        <f t="shared" si="12"/>
        <v>0</v>
      </c>
      <c r="BE63" s="14">
        <f t="shared" si="12"/>
        <v>854696.8999999999</v>
      </c>
      <c r="BF63" s="14">
        <f t="shared" si="12"/>
        <v>1540450.4</v>
      </c>
      <c r="BG63" s="14"/>
      <c r="BH63" s="14"/>
      <c r="BI63" s="14">
        <f t="shared" si="13"/>
        <v>0</v>
      </c>
      <c r="BJ63" s="14">
        <f t="shared" si="13"/>
        <v>854696.8999999999</v>
      </c>
      <c r="BK63" s="14">
        <f t="shared" si="14"/>
        <v>1540450.4</v>
      </c>
      <c r="BL63" s="14"/>
      <c r="BM63" s="14">
        <f t="shared" si="15"/>
        <v>0</v>
      </c>
      <c r="BN63" s="14"/>
      <c r="BO63" s="14"/>
      <c r="BP63" s="14"/>
      <c r="BQ63" s="14">
        <f t="shared" si="16"/>
        <v>0</v>
      </c>
      <c r="BR63" s="14">
        <f t="shared" si="17"/>
        <v>854696.8999999999</v>
      </c>
      <c r="BS63" s="14">
        <f t="shared" si="17"/>
        <v>1540450.4</v>
      </c>
      <c r="BT63" s="14"/>
      <c r="BU63" s="6">
        <f t="shared" si="20"/>
        <v>0</v>
      </c>
      <c r="BV63" s="14"/>
    </row>
    <row r="64" spans="1:74" s="15" customFormat="1" ht="15.75" hidden="1">
      <c r="A64" s="24"/>
      <c r="B64" s="24"/>
      <c r="C64" s="13" t="s">
        <v>121</v>
      </c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7"/>
      <c r="T64" s="17"/>
      <c r="U64" s="17"/>
      <c r="V64" s="17"/>
      <c r="W64" s="17"/>
      <c r="X64" s="17"/>
      <c r="Y64" s="14"/>
      <c r="Z64" s="14"/>
      <c r="AA64" s="14"/>
      <c r="AB64" s="17"/>
      <c r="AC64" s="17"/>
      <c r="AD64" s="17"/>
      <c r="AE64" s="14"/>
      <c r="AF64" s="18"/>
      <c r="AG64" s="18"/>
      <c r="AH64" s="18"/>
      <c r="AI64" s="14"/>
      <c r="AJ64" s="14"/>
      <c r="AK64" s="14"/>
      <c r="AL64" s="17"/>
      <c r="AM64" s="17"/>
      <c r="AN64" s="17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>
        <v>0</v>
      </c>
      <c r="BJ64" s="14">
        <v>0</v>
      </c>
      <c r="BK64" s="14">
        <v>0</v>
      </c>
      <c r="BL64" s="14"/>
      <c r="BM64" s="14">
        <v>0</v>
      </c>
      <c r="BN64" s="14"/>
      <c r="BO64" s="14"/>
      <c r="BP64" s="14"/>
      <c r="BQ64" s="14"/>
      <c r="BR64" s="14"/>
      <c r="BS64" s="14"/>
      <c r="BT64" s="14"/>
      <c r="BU64" s="6">
        <f t="shared" si="20"/>
        <v>0</v>
      </c>
      <c r="BV64" s="14"/>
    </row>
    <row r="65" spans="1:74" s="15" customFormat="1" ht="15.75">
      <c r="A65" s="25"/>
      <c r="B65" s="12"/>
      <c r="C65" s="13" t="s">
        <v>68</v>
      </c>
      <c r="D65" s="14">
        <f>D63+D60+D55+D47+D44+D39+D35+D30+D26+D22+D14</f>
        <v>20283051.1</v>
      </c>
      <c r="E65" s="14">
        <f t="shared" si="18"/>
        <v>-2667425.9000000022</v>
      </c>
      <c r="F65" s="14">
        <f>F63+F60+F55+F47+F44+F39+F35+F30+F26+F22+F14</f>
        <v>17615625.2</v>
      </c>
      <c r="G65" s="14">
        <f>G63+G60+G55+G47+G44+G39+G35+G30+G26+G22+G14</f>
        <v>21679115.800000004</v>
      </c>
      <c r="H65" s="14">
        <f t="shared" si="19"/>
        <v>-2152889.8000000045</v>
      </c>
      <c r="I65" s="14">
        <f>I63+I60+I55+I47+I44+I39+I35+I30+I26+I22+I14</f>
        <v>19526226</v>
      </c>
      <c r="J65" s="14">
        <f>J63+J60+J55+J47+J44+J39+J35+J30+J26+J22+J14</f>
        <v>20183884.7</v>
      </c>
      <c r="K65" s="14">
        <f>K63+K60+K55+K47+K44+K39+K35+K30+K26+K22+K14</f>
        <v>-91415.09999999999</v>
      </c>
      <c r="L65" s="14">
        <f>L63+L60+L55+L47+L44+L39+L35+L30+L26+L22+L14</f>
        <v>-20082.99999999999</v>
      </c>
      <c r="M65" s="14">
        <f>M63+M60+M55+M47+M44+M39+M35+M30+M26+M22+M14</f>
        <v>-5049.299999999992</v>
      </c>
      <c r="N65" s="14">
        <f>K65+E65</f>
        <v>-2758841.0000000023</v>
      </c>
      <c r="O65" s="14">
        <f>K65+F65</f>
        <v>17524210.099999998</v>
      </c>
      <c r="P65" s="14">
        <f>L65+H65</f>
        <v>-2172972.8000000045</v>
      </c>
      <c r="Q65" s="14">
        <f>L65+I65</f>
        <v>19506143</v>
      </c>
      <c r="R65" s="14">
        <f>M65+J65</f>
        <v>20178835.4</v>
      </c>
      <c r="S65" s="17">
        <f>S63+S60+S55+S47+S44+S39+S35+S30+S26+S22+S14</f>
        <v>361961.29999999993</v>
      </c>
      <c r="T65" s="17">
        <f>T63+T60+T55+T47+T44+T39+T35+T30+T26+T22+T14</f>
        <v>94747.3</v>
      </c>
      <c r="U65" s="17">
        <f>U63+U60+U55+U47+U44+U39+U35+U30+U26+U22+U14</f>
        <v>106089.7</v>
      </c>
      <c r="V65" s="17">
        <f>O65+S65</f>
        <v>17886171.4</v>
      </c>
      <c r="W65" s="17">
        <f>Q65+T65</f>
        <v>19600890.3</v>
      </c>
      <c r="X65" s="17">
        <f>R65+U65</f>
        <v>20284925.099999998</v>
      </c>
      <c r="Y65" s="14">
        <f>Y63+Y60+Y55+Y47+Y44+Y39+Y35+Y30+Y26+Y22+Y14</f>
        <v>0</v>
      </c>
      <c r="Z65" s="14">
        <f>Z63+Z60+Z55+Z47+Z44+Z39+Z35+Z30+Z26+Z22+Z14</f>
        <v>0</v>
      </c>
      <c r="AA65" s="14">
        <f>AA63+AA60+AA55+AA47+AA44+AA39+AA35+AA30+AA26+AA22+AA14</f>
        <v>0</v>
      </c>
      <c r="AB65" s="17">
        <f>V65+Y65</f>
        <v>17886171.4</v>
      </c>
      <c r="AC65" s="17">
        <f>W65+Z65</f>
        <v>19600890.3</v>
      </c>
      <c r="AD65" s="17">
        <f>X65+AA65</f>
        <v>20284925.099999998</v>
      </c>
      <c r="AE65" s="14">
        <f>AE63+AE60+AE55+AE47+AE44+AE39+AE35+AE30+AE26+AE22+AE14</f>
        <v>0</v>
      </c>
      <c r="AF65" s="17">
        <f>AE65+AB65</f>
        <v>17886171.4</v>
      </c>
      <c r="AG65" s="17">
        <f>AC65</f>
        <v>19600890.3</v>
      </c>
      <c r="AH65" s="17">
        <f>AD65</f>
        <v>20284925.099999998</v>
      </c>
      <c r="AI65" s="14">
        <f>AI63+AI60+AI55+AI47+AI44+AI39+AI35+AI30+AI26+AI22+AI14</f>
        <v>0</v>
      </c>
      <c r="AJ65" s="14">
        <f>AJ63+AJ60+AJ55+AJ47+AJ44+AJ39+AJ35+AJ30+AJ26+AJ22+AJ14</f>
        <v>-2050.9</v>
      </c>
      <c r="AK65" s="14">
        <f>AK63+AK60+AK55+AK47+AK44+AK39+AK35+AK30+AK26+AK22+AK14</f>
        <v>-2050.9</v>
      </c>
      <c r="AL65" s="17">
        <f>AF65+AI65</f>
        <v>17886171.4</v>
      </c>
      <c r="AM65" s="17">
        <f>AG65+AJ65</f>
        <v>19598839.400000002</v>
      </c>
      <c r="AN65" s="17">
        <f>AH65+AK65</f>
        <v>20282874.2</v>
      </c>
      <c r="AO65" s="14">
        <f>AO63+AO60+AO55+AO47+AO44+AO39+AO35+AO30+AO26+AO22+AO14</f>
        <v>0</v>
      </c>
      <c r="AP65" s="14">
        <f>AP63+AP60+AP55+AP47+AP44+AP39+AP35+AP30+AP26+AP22+AP14</f>
        <v>0</v>
      </c>
      <c r="AQ65" s="14">
        <f>AQ63+AQ60+AQ55+AQ47+AQ44+AQ39+AQ35+AQ30+AQ26+AQ22+AQ14</f>
        <v>0</v>
      </c>
      <c r="AR65" s="14">
        <f>AL65+AO65</f>
        <v>17886171.4</v>
      </c>
      <c r="AS65" s="14">
        <f>AM65+AP65</f>
        <v>19598839.400000002</v>
      </c>
      <c r="AT65" s="14">
        <f>AN65+AQ65</f>
        <v>20282874.2</v>
      </c>
      <c r="AU65" s="14">
        <f>AU63+AU60+AU55+AU47+AU44+AU39+AU35+AU30+AU26+AU22+AU14</f>
        <v>2994109.807</v>
      </c>
      <c r="AV65" s="14">
        <f>AV63+AV60+AV55+AV47+AV44+AV39+AV35+AV30+AV26+AV22+AV14</f>
        <v>347008.8</v>
      </c>
      <c r="AW65" s="14">
        <f>AW63+AW60+AW55+AW47+AW44+AW39+AW35+AW30+AW26+AW22+AW14</f>
        <v>526511.7</v>
      </c>
      <c r="AX65" s="14">
        <f>AR65+AU65</f>
        <v>20880281.207</v>
      </c>
      <c r="AY65" s="14">
        <f>AS65+AV65</f>
        <v>19945848.200000003</v>
      </c>
      <c r="AZ65" s="14">
        <f>AT65+AW65</f>
        <v>20809385.9</v>
      </c>
      <c r="BA65" s="14">
        <f>BA63+BA60+BA55+BA47+BA44+BA39+BA35+BA30+BA26+BA22+BA14</f>
        <v>0</v>
      </c>
      <c r="BB65" s="14">
        <f>BB63+BB60+BB55+BB47+BB44+BB39+BB35+BB30+BB26+BB22+BB14</f>
        <v>0</v>
      </c>
      <c r="BC65" s="14">
        <f>BC63+BC60+BC55+BC47+BC44+BC39+BC35+BC30+BC26+BC22+BC14</f>
        <v>0</v>
      </c>
      <c r="BD65" s="14">
        <f>AX65+BA65</f>
        <v>20880281.207</v>
      </c>
      <c r="BE65" s="14">
        <f>AY65+BB65</f>
        <v>19945848.200000003</v>
      </c>
      <c r="BF65" s="14">
        <f>AZ65+BC65</f>
        <v>20809385.9</v>
      </c>
      <c r="BG65" s="14">
        <f>BG63+BG60+BG55+BG47+BG44+BG39+BG35+BG30+BG26+BG22+BG14</f>
        <v>572969.0560000001</v>
      </c>
      <c r="BH65" s="14">
        <f>BH63+BH60+BH55+BH47+BH44+BH39+BH35+BH30+BH26+BH22+BH14</f>
        <v>0</v>
      </c>
      <c r="BI65" s="14">
        <f>BD65+BG65</f>
        <v>21453250.263</v>
      </c>
      <c r="BJ65" s="14">
        <f>BE65+BH65</f>
        <v>19945848.200000003</v>
      </c>
      <c r="BK65" s="14">
        <f>BF65</f>
        <v>20809385.9</v>
      </c>
      <c r="BL65" s="14">
        <f>BL63+BL60+BL55+BL47+BL44+BL39+BL35+BL30+BL26+BL22+BL14</f>
        <v>-8.44124770082999E-12</v>
      </c>
      <c r="BM65" s="14">
        <f>BI65+BL65</f>
        <v>21453250.263</v>
      </c>
      <c r="BN65" s="14">
        <f>BN63+BN60+BN55+BN47+BN44+BN39+BN35+BN30+BN26+BN22+BN14+BN64</f>
        <v>5701.21900000001</v>
      </c>
      <c r="BO65" s="14">
        <f>BO63+BO60+BO55+BO47+BO44+BO39+BO35+BO30+BO26+BO22+BO14+BO64</f>
        <v>0</v>
      </c>
      <c r="BP65" s="14">
        <f>BP63+BP60+BP55+BP47+BP44+BP39+BP35+BP30+BP26+BP22+BP14+BP64</f>
        <v>0</v>
      </c>
      <c r="BQ65" s="14">
        <f>BM65+BN65</f>
        <v>21458951.482</v>
      </c>
      <c r="BR65" s="14">
        <f>BJ65+BO65</f>
        <v>19945848.200000003</v>
      </c>
      <c r="BS65" s="14">
        <f>BK65+BP65</f>
        <v>20809385.9</v>
      </c>
      <c r="BT65" s="14">
        <f>BT63+BT60+BT55+BT47+BT44+BT39+BT35+BT30+BT26+BT22+BT14+BT64</f>
        <v>481055</v>
      </c>
      <c r="BU65" s="14">
        <f t="shared" si="20"/>
        <v>21940006.482</v>
      </c>
      <c r="BV65" s="14">
        <f>BV63+BV60+BV55+BV47+BV44+BV39+BV35+BV30+BV26+BV22+BV14+BV64</f>
        <v>0</v>
      </c>
    </row>
  </sheetData>
  <sheetProtection password="CF5C" sheet="1" objects="1" scenarios="1"/>
  <mergeCells count="67">
    <mergeCell ref="BV12:BV13"/>
    <mergeCell ref="BT12:BT13"/>
    <mergeCell ref="BU12:BU13"/>
    <mergeCell ref="A9:BU9"/>
    <mergeCell ref="BP12:BP13"/>
    <mergeCell ref="BQ12:BQ13"/>
    <mergeCell ref="BR12:BR13"/>
    <mergeCell ref="BS12:BS13"/>
    <mergeCell ref="BL12:BL13"/>
    <mergeCell ref="BM12:BM13"/>
    <mergeCell ref="BN12:BN13"/>
    <mergeCell ref="BO12:BO13"/>
    <mergeCell ref="BH12:BH13"/>
    <mergeCell ref="BI12:BI13"/>
    <mergeCell ref="BJ12:BJ13"/>
    <mergeCell ref="BK12:BK13"/>
    <mergeCell ref="BD12:BD13"/>
    <mergeCell ref="BE12:BE13"/>
    <mergeCell ref="BF12:BF13"/>
    <mergeCell ref="BG12:BG13"/>
    <mergeCell ref="AX12:AX13"/>
    <mergeCell ref="AY12:AY13"/>
    <mergeCell ref="AZ12:AZ13"/>
    <mergeCell ref="BA12:BC12"/>
    <mergeCell ref="AT12:AT13"/>
    <mergeCell ref="AU12:AU13"/>
    <mergeCell ref="AV12:AV13"/>
    <mergeCell ref="AW12:AW13"/>
    <mergeCell ref="AP12:AP13"/>
    <mergeCell ref="AQ12:AQ13"/>
    <mergeCell ref="AR12:AR13"/>
    <mergeCell ref="AS12:AS13"/>
    <mergeCell ref="AL12:AL13"/>
    <mergeCell ref="AM12:AM13"/>
    <mergeCell ref="AN12:AN13"/>
    <mergeCell ref="AO12:AO13"/>
    <mergeCell ref="AH12:AH13"/>
    <mergeCell ref="AI12:AI13"/>
    <mergeCell ref="AJ12:AJ13"/>
    <mergeCell ref="AK12:AK13"/>
    <mergeCell ref="AD12:AD13"/>
    <mergeCell ref="AE12:AE13"/>
    <mergeCell ref="AF12:AF13"/>
    <mergeCell ref="AG12:AG13"/>
    <mergeCell ref="Z12:Z13"/>
    <mergeCell ref="AA12:AA13"/>
    <mergeCell ref="AB12:AB13"/>
    <mergeCell ref="AC12:AC13"/>
    <mergeCell ref="V12:V13"/>
    <mergeCell ref="W12:W13"/>
    <mergeCell ref="X12:X13"/>
    <mergeCell ref="Y12:Y13"/>
    <mergeCell ref="R12:R13"/>
    <mergeCell ref="S12:S13"/>
    <mergeCell ref="T12:T13"/>
    <mergeCell ref="U12:U13"/>
    <mergeCell ref="J12:J13"/>
    <mergeCell ref="K12:M12"/>
    <mergeCell ref="N12:O13"/>
    <mergeCell ref="P12:Q13"/>
    <mergeCell ref="E12:F12"/>
    <mergeCell ref="G12:G13"/>
    <mergeCell ref="H12:I12"/>
    <mergeCell ref="A12:A13"/>
    <mergeCell ref="B12:B13"/>
    <mergeCell ref="C12:C13"/>
    <mergeCell ref="D12:D13"/>
  </mergeCells>
  <printOptions/>
  <pageMargins left="0.17" right="0.17" top="0.17" bottom="0.44" header="0.5" footer="0.17"/>
  <pageSetup fitToHeight="2" fitToWidth="1" horizontalDpi="600" verticalDpi="600" orientation="portrait" paperSize="9" scale="9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Dep_Fin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326-104</dc:creator>
  <cp:keywords/>
  <dc:description/>
  <cp:lastModifiedBy>EKolyshkina</cp:lastModifiedBy>
  <cp:lastPrinted>2010-08-27T03:40:11Z</cp:lastPrinted>
  <dcterms:created xsi:type="dcterms:W3CDTF">2009-10-24T08:23:52Z</dcterms:created>
  <dcterms:modified xsi:type="dcterms:W3CDTF">2010-08-27T09:08:02Z</dcterms:modified>
  <cp:category/>
  <cp:version/>
  <cp:contentType/>
  <cp:contentStatus/>
</cp:coreProperties>
</file>