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9" sheetId="1" r:id="rId1"/>
  </sheets>
  <definedNames>
    <definedName name="_xlnm.Print_Titles" localSheetId="0">'Приложение № 9'!$12:$13</definedName>
  </definedNames>
  <calcPr fullCalcOnLoad="1"/>
</workbook>
</file>

<file path=xl/sharedStrings.xml><?xml version="1.0" encoding="utf-8"?>
<sst xmlns="http://schemas.openxmlformats.org/spreadsheetml/2006/main" count="199" uniqueCount="106">
  <si>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</si>
  <si>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</si>
  <si>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</si>
  <si>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</si>
  <si>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</si>
  <si>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</si>
  <si>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</si>
  <si>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</si>
  <si>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</si>
  <si>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</si>
  <si>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</si>
  <si>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</si>
  <si>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</si>
  <si>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</si>
  <si>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</si>
  <si>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</si>
  <si>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</si>
  <si>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</si>
  <si>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</si>
  <si>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</si>
  <si>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</si>
  <si>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</si>
  <si>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</si>
  <si>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</si>
  <si>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</si>
  <si>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</si>
  <si>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</si>
  <si>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</si>
  <si>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</si>
  <si>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</si>
  <si>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</si>
  <si>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</si>
  <si>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</si>
  <si>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</si>
  <si>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</si>
  <si>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</si>
  <si>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</si>
  <si>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</si>
  <si>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</si>
  <si>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</si>
  <si>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</si>
  <si>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</si>
  <si>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</si>
  <si>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</si>
  <si>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</si>
  <si>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</si>
  <si>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</si>
  <si>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</si>
  <si>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</si>
  <si>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</si>
  <si>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</si>
  <si>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</si>
  <si>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</si>
  <si>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</si>
  <si>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</si>
  <si>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</si>
  <si>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</si>
  <si>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</si>
  <si>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</si>
  <si>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</si>
  <si>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</si>
  <si>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</si>
  <si>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</si>
  <si>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</si>
  <si>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</si>
  <si>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</si>
  <si>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</si>
  <si>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</si>
  <si>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</si>
  <si>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</si>
  <si>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</si>
  <si>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</si>
  <si>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</si>
  <si>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</si>
  <si>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</si>
  <si>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</si>
  <si>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</si>
  <si>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</si>
  <si>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</si>
  <si>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</si>
  <si>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</si>
  <si>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</si>
  <si>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</si>
  <si>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</si>
  <si>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</si>
  <si>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</si>
  <si>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</si>
  <si>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</si>
  <si>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</si>
  <si>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</si>
  <si>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</si>
  <si>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</si>
  <si>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</si>
  <si>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</si>
  <si>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</si>
  <si>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</si>
  <si>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</si>
  <si>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Поправки комитета</t>
  </si>
  <si>
    <t>2010 (с учетом комитета)</t>
  </si>
  <si>
    <t>2011 (проект)</t>
  </si>
  <si>
    <t>2012 (проект)</t>
  </si>
  <si>
    <t>2011 (с учетом комитета)</t>
  </si>
  <si>
    <t>2012 (с учетом комитета)</t>
  </si>
  <si>
    <t>Приложение № 9 к решению</t>
  </si>
  <si>
    <t>Функциональная структура расходов бюджета города Перми на 2010 год</t>
  </si>
  <si>
    <t>от 23.03.2010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</si>
</sst>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4"/>
  <sheetViews>
    <sheetView tabSelected="1" zoomScale="75" zoomScaleNormal="75" workbookViewId="0" topLeftCell="A1">
      <pane xSplit="3" ySplit="13" topLeftCell="AL3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L41" sqref="AL41:AL43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38" width="16.625" style="17" customWidth="1"/>
    <col min="39" max="40" width="16.625" style="17" hidden="1" customWidth="1"/>
    <col min="41" max="41" width="12.25390625" style="1" hidden="1" customWidth="1"/>
    <col min="42" max="16384" width="9.125" style="1" customWidth="1"/>
  </cols>
  <sheetData>
    <row r="1" spans="3:40" ht="15.75">
      <c r="C1" s="43" t="s">
        <v>103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11"/>
      <c r="AN1" s="11"/>
    </row>
    <row r="2" spans="3:40" ht="15.75">
      <c r="C2" s="4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11"/>
      <c r="AN2" s="11"/>
    </row>
    <row r="3" spans="3:38" ht="15.75">
      <c r="C3" s="43" t="s">
        <v>105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5" spans="3:40" ht="15.75">
      <c r="C5" s="43" t="s">
        <v>103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11"/>
      <c r="AN5" s="11"/>
    </row>
    <row r="6" spans="3:40" ht="15.75">
      <c r="C6" s="43" t="s">
        <v>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11"/>
      <c r="AN6" s="11"/>
    </row>
    <row r="7" spans="3:40" ht="15.75">
      <c r="C7" s="43" t="s">
        <v>96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11"/>
      <c r="AN7" s="11"/>
    </row>
    <row r="8" spans="4:5" ht="15.75">
      <c r="D8" s="4"/>
      <c r="E8" s="4" t="s">
        <v>0</v>
      </c>
    </row>
    <row r="9" spans="1:41" ht="15.75" customHeight="1">
      <c r="A9" s="44" t="s">
        <v>104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21"/>
      <c r="AN9" s="21"/>
      <c r="AO9" s="21"/>
    </row>
    <row r="10" spans="1:4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4:40" ht="15.75">
      <c r="D11" s="11"/>
      <c r="F11" s="11" t="s">
        <v>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AD11" s="11" t="s">
        <v>95</v>
      </c>
      <c r="AF11" s="11"/>
      <c r="AG11" s="11"/>
      <c r="AH11" s="11"/>
      <c r="AL11" s="11" t="s">
        <v>76</v>
      </c>
      <c r="AM11" s="11"/>
      <c r="AN11" s="11"/>
    </row>
    <row r="12" spans="1:41" ht="15.75">
      <c r="A12" s="39" t="s">
        <v>1</v>
      </c>
      <c r="B12" s="39" t="s">
        <v>2</v>
      </c>
      <c r="C12" s="36" t="s">
        <v>3</v>
      </c>
      <c r="D12" s="36" t="s">
        <v>70</v>
      </c>
      <c r="E12" s="37" t="s">
        <v>79</v>
      </c>
      <c r="F12" s="38"/>
      <c r="G12" s="36" t="s">
        <v>71</v>
      </c>
      <c r="H12" s="37" t="s">
        <v>82</v>
      </c>
      <c r="I12" s="38"/>
      <c r="J12" s="30" t="s">
        <v>81</v>
      </c>
      <c r="K12" s="40" t="s">
        <v>83</v>
      </c>
      <c r="L12" s="41"/>
      <c r="M12" s="42"/>
      <c r="N12" s="32" t="s">
        <v>84</v>
      </c>
      <c r="O12" s="33"/>
      <c r="P12" s="32" t="s">
        <v>80</v>
      </c>
      <c r="Q12" s="33"/>
      <c r="R12" s="30" t="s">
        <v>85</v>
      </c>
      <c r="S12" s="30" t="s">
        <v>86</v>
      </c>
      <c r="T12" s="30" t="s">
        <v>87</v>
      </c>
      <c r="U12" s="30" t="s">
        <v>88</v>
      </c>
      <c r="V12" s="30" t="s">
        <v>89</v>
      </c>
      <c r="W12" s="30" t="s">
        <v>90</v>
      </c>
      <c r="X12" s="30" t="s">
        <v>91</v>
      </c>
      <c r="Y12" s="27" t="s">
        <v>92</v>
      </c>
      <c r="Z12" s="27" t="s">
        <v>93</v>
      </c>
      <c r="AA12" s="27" t="s">
        <v>94</v>
      </c>
      <c r="AB12" s="28">
        <v>2010</v>
      </c>
      <c r="AC12" s="28">
        <v>2011</v>
      </c>
      <c r="AD12" s="28">
        <v>2012</v>
      </c>
      <c r="AE12" s="27" t="s">
        <v>97</v>
      </c>
      <c r="AF12" s="28" t="s">
        <v>98</v>
      </c>
      <c r="AG12" s="28" t="s">
        <v>101</v>
      </c>
      <c r="AH12" s="28" t="s">
        <v>102</v>
      </c>
      <c r="AI12" s="27" t="s">
        <v>92</v>
      </c>
      <c r="AJ12" s="27" t="s">
        <v>93</v>
      </c>
      <c r="AK12" s="27" t="s">
        <v>94</v>
      </c>
      <c r="AL12" s="28" t="s">
        <v>74</v>
      </c>
      <c r="AM12" s="28" t="s">
        <v>99</v>
      </c>
      <c r="AN12" s="28" t="s">
        <v>100</v>
      </c>
      <c r="AO12" s="27" t="s">
        <v>5</v>
      </c>
    </row>
    <row r="13" spans="1:41" ht="31.5">
      <c r="A13" s="39"/>
      <c r="B13" s="39"/>
      <c r="C13" s="36"/>
      <c r="D13" s="36"/>
      <c r="E13" s="20" t="s">
        <v>4</v>
      </c>
      <c r="F13" s="20" t="s">
        <v>75</v>
      </c>
      <c r="G13" s="36"/>
      <c r="H13" s="20" t="s">
        <v>4</v>
      </c>
      <c r="I13" s="20" t="s">
        <v>75</v>
      </c>
      <c r="J13" s="31"/>
      <c r="K13" s="22" t="s">
        <v>74</v>
      </c>
      <c r="L13" s="22" t="s">
        <v>77</v>
      </c>
      <c r="M13" s="22" t="s">
        <v>78</v>
      </c>
      <c r="N13" s="34"/>
      <c r="O13" s="35"/>
      <c r="P13" s="34"/>
      <c r="Q13" s="35"/>
      <c r="R13" s="31"/>
      <c r="S13" s="31"/>
      <c r="T13" s="31"/>
      <c r="U13" s="31"/>
      <c r="V13" s="31"/>
      <c r="W13" s="31"/>
      <c r="X13" s="31"/>
      <c r="Y13" s="27"/>
      <c r="Z13" s="27"/>
      <c r="AA13" s="27"/>
      <c r="AB13" s="29"/>
      <c r="AC13" s="29"/>
      <c r="AD13" s="29"/>
      <c r="AE13" s="27"/>
      <c r="AF13" s="29"/>
      <c r="AG13" s="29"/>
      <c r="AH13" s="29"/>
      <c r="AI13" s="27"/>
      <c r="AJ13" s="27"/>
      <c r="AK13" s="27"/>
      <c r="AL13" s="29"/>
      <c r="AM13" s="29"/>
      <c r="AN13" s="29"/>
      <c r="AO13" s="27"/>
    </row>
    <row r="14" spans="1:41" s="16" customFormat="1" ht="15.75">
      <c r="A14" s="13" t="s">
        <v>6</v>
      </c>
      <c r="B14" s="13" t="s">
        <v>7</v>
      </c>
      <c r="C14" s="14" t="s">
        <v>8</v>
      </c>
      <c r="D14" s="15">
        <f>SUM(D15:D21)</f>
        <v>1144027.5</v>
      </c>
      <c r="E14" s="15">
        <f>F14-D14</f>
        <v>32495.100000000093</v>
      </c>
      <c r="F14" s="15">
        <f>SUM(F15:F21)</f>
        <v>1176522.6</v>
      </c>
      <c r="G14" s="15">
        <f>SUM(G15:G21)</f>
        <v>1177034.6</v>
      </c>
      <c r="H14" s="15">
        <f>I14-G14</f>
        <v>69708.5</v>
      </c>
      <c r="I14" s="15">
        <f>SUM(I15:I21)</f>
        <v>1246743.1</v>
      </c>
      <c r="J14" s="15">
        <f>SUM(J15:J21)</f>
        <v>1246480.2000000002</v>
      </c>
      <c r="K14" s="15">
        <f>SUM(K15:K21)</f>
        <v>799.9999999999998</v>
      </c>
      <c r="L14" s="15">
        <f>SUM(L15:L21)</f>
        <v>840</v>
      </c>
      <c r="M14" s="15">
        <f>SUM(M15:M21)</f>
        <v>855</v>
      </c>
      <c r="N14" s="15">
        <f aca="true" t="shared" si="0" ref="N14:N63">K14+E14</f>
        <v>33295.10000000009</v>
      </c>
      <c r="O14" s="15">
        <f aca="true" t="shared" si="1" ref="O14:O63">K14+F14</f>
        <v>1177322.6</v>
      </c>
      <c r="P14" s="15">
        <f aca="true" t="shared" si="2" ref="P14:P63">L14+H14</f>
        <v>70548.5</v>
      </c>
      <c r="Q14" s="15">
        <f aca="true" t="shared" si="3" ref="Q14:Q63">L14+I14</f>
        <v>1247583.1</v>
      </c>
      <c r="R14" s="15">
        <f aca="true" t="shared" si="4" ref="R14:R63">M14+J14</f>
        <v>1247335.2000000002</v>
      </c>
      <c r="S14" s="18">
        <f>SUM(S15:S21)</f>
        <v>23638.000000000004</v>
      </c>
      <c r="T14" s="18">
        <f>SUM(T15:T21)</f>
        <v>0</v>
      </c>
      <c r="U14" s="18">
        <f>SUM(U15:U21)</f>
        <v>0</v>
      </c>
      <c r="V14" s="18">
        <f aca="true" t="shared" si="5" ref="V14:V63">O14+S14</f>
        <v>1200960.6</v>
      </c>
      <c r="W14" s="18">
        <f aca="true" t="shared" si="6" ref="W14:W63">Q14+T14</f>
        <v>1247583.1</v>
      </c>
      <c r="X14" s="18">
        <f aca="true" t="shared" si="7" ref="X14:X63">R14+U14</f>
        <v>1247335.2000000002</v>
      </c>
      <c r="Y14" s="15">
        <f>SUM(Y15:Y21)</f>
        <v>15183.1</v>
      </c>
      <c r="Z14" s="15">
        <f>SUM(Z15:Z21)</f>
        <v>0</v>
      </c>
      <c r="AA14" s="15">
        <f>SUM(AA15:AA21)</f>
        <v>0</v>
      </c>
      <c r="AB14" s="18">
        <f aca="true" t="shared" si="8" ref="AB14:AB63">V14+Y14</f>
        <v>1216143.7000000002</v>
      </c>
      <c r="AC14" s="18">
        <f aca="true" t="shared" si="9" ref="AC14:AC63">W14+Z14</f>
        <v>1247583.1</v>
      </c>
      <c r="AD14" s="18">
        <f aca="true" t="shared" si="10" ref="AD14:AD63">X14+AA14</f>
        <v>1247335.2000000002</v>
      </c>
      <c r="AE14" s="15">
        <f>SUM(AE15:AE21)</f>
        <v>1250</v>
      </c>
      <c r="AF14" s="18">
        <f aca="true" t="shared" si="11" ref="AF14:AF63">AE14+AB14</f>
        <v>1217393.7000000002</v>
      </c>
      <c r="AG14" s="18">
        <f aca="true" t="shared" si="12" ref="AG14:AG63">AC14</f>
        <v>1247583.1</v>
      </c>
      <c r="AH14" s="18">
        <f aca="true" t="shared" si="13" ref="AH14:AH63">AD14</f>
        <v>1247335.2000000002</v>
      </c>
      <c r="AI14" s="15">
        <f>SUM(AI15:AI21)</f>
        <v>0</v>
      </c>
      <c r="AJ14" s="15">
        <f>SUM(AJ15:AJ21)</f>
        <v>0</v>
      </c>
      <c r="AK14" s="15">
        <f>SUM(AK15:AK21)</f>
        <v>0</v>
      </c>
      <c r="AL14" s="18">
        <f aca="true" t="shared" si="14" ref="AL14:AL63">AF14+AI14</f>
        <v>1217393.7000000002</v>
      </c>
      <c r="AM14" s="18">
        <f aca="true" t="shared" si="15" ref="AM14:AM63">AG14+AJ14</f>
        <v>1247583.1</v>
      </c>
      <c r="AN14" s="18">
        <f aca="true" t="shared" si="16" ref="AN14:AN63">AH14+AK14</f>
        <v>1247335.2000000002</v>
      </c>
      <c r="AO14" s="15">
        <f>SUM(AO15:AO21)</f>
        <v>0</v>
      </c>
    </row>
    <row r="15" spans="1:41" ht="31.5">
      <c r="A15" s="5" t="s">
        <v>6</v>
      </c>
      <c r="B15" s="8" t="s">
        <v>9</v>
      </c>
      <c r="C15" s="6" t="s">
        <v>10</v>
      </c>
      <c r="D15" s="7">
        <v>2712.3</v>
      </c>
      <c r="E15" s="7">
        <f aca="true" t="shared" si="17" ref="E15:E64">F15-D15</f>
        <v>-428.10000000000036</v>
      </c>
      <c r="F15" s="7">
        <v>2284.2</v>
      </c>
      <c r="G15" s="7">
        <v>2712.3</v>
      </c>
      <c r="H15" s="7">
        <f aca="true" t="shared" si="18" ref="H15:H64">I15-G15</f>
        <v>167.5999999999999</v>
      </c>
      <c r="I15" s="7">
        <v>2879.9</v>
      </c>
      <c r="J15" s="7">
        <v>2879.9</v>
      </c>
      <c r="K15" s="7"/>
      <c r="L15" s="7"/>
      <c r="M15" s="7"/>
      <c r="N15" s="7">
        <f t="shared" si="0"/>
        <v>-428.10000000000036</v>
      </c>
      <c r="O15" s="7">
        <f t="shared" si="1"/>
        <v>2284.2</v>
      </c>
      <c r="P15" s="7">
        <f t="shared" si="2"/>
        <v>167.5999999999999</v>
      </c>
      <c r="Q15" s="7">
        <f t="shared" si="3"/>
        <v>2879.9</v>
      </c>
      <c r="R15" s="7">
        <f t="shared" si="4"/>
        <v>2879.9</v>
      </c>
      <c r="S15" s="19"/>
      <c r="T15" s="19"/>
      <c r="U15" s="19"/>
      <c r="V15" s="19">
        <f t="shared" si="5"/>
        <v>2284.2</v>
      </c>
      <c r="W15" s="19">
        <f t="shared" si="6"/>
        <v>2879.9</v>
      </c>
      <c r="X15" s="19">
        <f t="shared" si="7"/>
        <v>2879.9</v>
      </c>
      <c r="Y15" s="7"/>
      <c r="Z15" s="7"/>
      <c r="AA15" s="7"/>
      <c r="AB15" s="19">
        <f t="shared" si="8"/>
        <v>2284.2</v>
      </c>
      <c r="AC15" s="19">
        <f t="shared" si="9"/>
        <v>2879.9</v>
      </c>
      <c r="AD15" s="19">
        <f t="shared" si="10"/>
        <v>2879.9</v>
      </c>
      <c r="AE15" s="7"/>
      <c r="AF15" s="19">
        <f t="shared" si="11"/>
        <v>2284.2</v>
      </c>
      <c r="AG15" s="19">
        <f t="shared" si="12"/>
        <v>2879.9</v>
      </c>
      <c r="AH15" s="19">
        <f t="shared" si="13"/>
        <v>2879.9</v>
      </c>
      <c r="AI15" s="7"/>
      <c r="AJ15" s="7"/>
      <c r="AK15" s="7"/>
      <c r="AL15" s="19">
        <f t="shared" si="14"/>
        <v>2284.2</v>
      </c>
      <c r="AM15" s="19">
        <f t="shared" si="15"/>
        <v>2879.9</v>
      </c>
      <c r="AN15" s="19">
        <f t="shared" si="16"/>
        <v>2879.9</v>
      </c>
      <c r="AO15" s="7"/>
    </row>
    <row r="16" spans="1:41" ht="47.25">
      <c r="A16" s="5" t="s">
        <v>6</v>
      </c>
      <c r="B16" s="8" t="s">
        <v>11</v>
      </c>
      <c r="C16" s="6" t="s">
        <v>12</v>
      </c>
      <c r="D16" s="7">
        <v>124222.3</v>
      </c>
      <c r="E16" s="7">
        <f t="shared" si="17"/>
        <v>-5947.800000000003</v>
      </c>
      <c r="F16" s="7">
        <v>118274.5</v>
      </c>
      <c r="G16" s="7">
        <v>129184.3</v>
      </c>
      <c r="H16" s="7">
        <f t="shared" si="18"/>
        <v>4244.699999999997</v>
      </c>
      <c r="I16" s="7">
        <v>133429</v>
      </c>
      <c r="J16" s="7">
        <v>133429</v>
      </c>
      <c r="K16" s="7"/>
      <c r="L16" s="7"/>
      <c r="M16" s="7"/>
      <c r="N16" s="7">
        <f t="shared" si="0"/>
        <v>-5947.800000000003</v>
      </c>
      <c r="O16" s="7">
        <f t="shared" si="1"/>
        <v>118274.5</v>
      </c>
      <c r="P16" s="7">
        <f t="shared" si="2"/>
        <v>4244.699999999997</v>
      </c>
      <c r="Q16" s="7">
        <f t="shared" si="3"/>
        <v>133429</v>
      </c>
      <c r="R16" s="7">
        <f t="shared" si="4"/>
        <v>133429</v>
      </c>
      <c r="S16" s="19"/>
      <c r="T16" s="19"/>
      <c r="U16" s="19"/>
      <c r="V16" s="19">
        <f t="shared" si="5"/>
        <v>118274.5</v>
      </c>
      <c r="W16" s="19">
        <f t="shared" si="6"/>
        <v>133429</v>
      </c>
      <c r="X16" s="19">
        <f t="shared" si="7"/>
        <v>133429</v>
      </c>
      <c r="Y16" s="7"/>
      <c r="Z16" s="7"/>
      <c r="AA16" s="7"/>
      <c r="AB16" s="19">
        <f t="shared" si="8"/>
        <v>118274.5</v>
      </c>
      <c r="AC16" s="19">
        <f t="shared" si="9"/>
        <v>133429</v>
      </c>
      <c r="AD16" s="19">
        <f t="shared" si="10"/>
        <v>133429</v>
      </c>
      <c r="AE16" s="7"/>
      <c r="AF16" s="19">
        <f t="shared" si="11"/>
        <v>118274.5</v>
      </c>
      <c r="AG16" s="19">
        <f t="shared" si="12"/>
        <v>133429</v>
      </c>
      <c r="AH16" s="19">
        <f t="shared" si="13"/>
        <v>133429</v>
      </c>
      <c r="AI16" s="7"/>
      <c r="AJ16" s="7"/>
      <c r="AK16" s="7"/>
      <c r="AL16" s="19">
        <f t="shared" si="14"/>
        <v>118274.5</v>
      </c>
      <c r="AM16" s="19">
        <f t="shared" si="15"/>
        <v>133429</v>
      </c>
      <c r="AN16" s="19">
        <f t="shared" si="16"/>
        <v>133429</v>
      </c>
      <c r="AO16" s="7"/>
    </row>
    <row r="17" spans="1:41" ht="47.25">
      <c r="A17" s="5" t="s">
        <v>6</v>
      </c>
      <c r="B17" s="8" t="s">
        <v>13</v>
      </c>
      <c r="C17" s="6" t="s">
        <v>14</v>
      </c>
      <c r="D17" s="7">
        <v>464632.6</v>
      </c>
      <c r="E17" s="7">
        <f t="shared" si="17"/>
        <v>3079.7000000000116</v>
      </c>
      <c r="F17" s="7">
        <v>467712.3</v>
      </c>
      <c r="G17" s="7">
        <v>482746.3</v>
      </c>
      <c r="H17" s="7">
        <f t="shared" si="18"/>
        <v>48719.899999999965</v>
      </c>
      <c r="I17" s="7">
        <v>531466.2</v>
      </c>
      <c r="J17" s="7">
        <v>520711.9</v>
      </c>
      <c r="K17" s="7">
        <f>211.8+211.8+211.8+211.8+211.8+211.8+211.8+197.3+600</f>
        <v>2279.8999999999996</v>
      </c>
      <c r="L17" s="7">
        <f>219.6+219.6+219.6+219.6+219.6+219.6+219.6+212+840</f>
        <v>2589.2</v>
      </c>
      <c r="M17" s="7">
        <f>219.6+219.6+219.6+219.6+219.6+219.6+219.6+212+855</f>
        <v>2604.2</v>
      </c>
      <c r="N17" s="7">
        <f t="shared" si="0"/>
        <v>5359.600000000011</v>
      </c>
      <c r="O17" s="7">
        <f t="shared" si="1"/>
        <v>469992.2</v>
      </c>
      <c r="P17" s="7">
        <f t="shared" si="2"/>
        <v>51309.09999999996</v>
      </c>
      <c r="Q17" s="7">
        <f t="shared" si="3"/>
        <v>534055.3999999999</v>
      </c>
      <c r="R17" s="7">
        <f t="shared" si="4"/>
        <v>523316.10000000003</v>
      </c>
      <c r="S17" s="19"/>
      <c r="T17" s="19"/>
      <c r="U17" s="19"/>
      <c r="V17" s="19">
        <f t="shared" si="5"/>
        <v>469992.2</v>
      </c>
      <c r="W17" s="19">
        <f t="shared" si="6"/>
        <v>534055.3999999999</v>
      </c>
      <c r="X17" s="19">
        <f t="shared" si="7"/>
        <v>523316.10000000003</v>
      </c>
      <c r="Y17" s="7">
        <f>4200+9733.1</f>
        <v>13933.1</v>
      </c>
      <c r="Z17" s="7"/>
      <c r="AA17" s="7"/>
      <c r="AB17" s="19">
        <f t="shared" si="8"/>
        <v>483925.3</v>
      </c>
      <c r="AC17" s="19">
        <f t="shared" si="9"/>
        <v>534055.3999999999</v>
      </c>
      <c r="AD17" s="19">
        <f t="shared" si="10"/>
        <v>523316.10000000003</v>
      </c>
      <c r="AE17" s="7"/>
      <c r="AF17" s="19">
        <f t="shared" si="11"/>
        <v>483925.3</v>
      </c>
      <c r="AG17" s="19">
        <f t="shared" si="12"/>
        <v>534055.3999999999</v>
      </c>
      <c r="AH17" s="19">
        <f t="shared" si="13"/>
        <v>523316.10000000003</v>
      </c>
      <c r="AI17" s="7"/>
      <c r="AJ17" s="7"/>
      <c r="AK17" s="7"/>
      <c r="AL17" s="19">
        <f t="shared" si="14"/>
        <v>483925.3</v>
      </c>
      <c r="AM17" s="19">
        <f t="shared" si="15"/>
        <v>534055.3999999999</v>
      </c>
      <c r="AN17" s="19">
        <f t="shared" si="16"/>
        <v>523316.10000000003</v>
      </c>
      <c r="AO17" s="7"/>
    </row>
    <row r="18" spans="1:41" ht="31.5">
      <c r="A18" s="5" t="s">
        <v>6</v>
      </c>
      <c r="B18" s="8" t="s">
        <v>15</v>
      </c>
      <c r="C18" s="6" t="s">
        <v>16</v>
      </c>
      <c r="D18" s="7">
        <v>96578.4</v>
      </c>
      <c r="E18" s="7">
        <f t="shared" si="17"/>
        <v>-12037.399999999994</v>
      </c>
      <c r="F18" s="7">
        <v>84541</v>
      </c>
      <c r="G18" s="7">
        <v>97428.6</v>
      </c>
      <c r="H18" s="7">
        <f t="shared" si="18"/>
        <v>-5052.600000000006</v>
      </c>
      <c r="I18" s="7">
        <v>92376</v>
      </c>
      <c r="J18" s="7">
        <v>92577.4</v>
      </c>
      <c r="K18" s="7"/>
      <c r="L18" s="7"/>
      <c r="M18" s="7"/>
      <c r="N18" s="7">
        <f t="shared" si="0"/>
        <v>-12037.399999999994</v>
      </c>
      <c r="O18" s="7">
        <f t="shared" si="1"/>
        <v>84541</v>
      </c>
      <c r="P18" s="7">
        <f t="shared" si="2"/>
        <v>-5052.600000000006</v>
      </c>
      <c r="Q18" s="7">
        <f t="shared" si="3"/>
        <v>92376</v>
      </c>
      <c r="R18" s="7">
        <f t="shared" si="4"/>
        <v>92577.4</v>
      </c>
      <c r="S18" s="19"/>
      <c r="T18" s="19"/>
      <c r="U18" s="19"/>
      <c r="V18" s="19">
        <f t="shared" si="5"/>
        <v>84541</v>
      </c>
      <c r="W18" s="19">
        <f t="shared" si="6"/>
        <v>92376</v>
      </c>
      <c r="X18" s="19">
        <f t="shared" si="7"/>
        <v>92577.4</v>
      </c>
      <c r="Y18" s="7"/>
      <c r="Z18" s="7"/>
      <c r="AA18" s="7"/>
      <c r="AB18" s="19">
        <f t="shared" si="8"/>
        <v>84541</v>
      </c>
      <c r="AC18" s="19">
        <f t="shared" si="9"/>
        <v>92376</v>
      </c>
      <c r="AD18" s="19">
        <f t="shared" si="10"/>
        <v>92577.4</v>
      </c>
      <c r="AE18" s="7"/>
      <c r="AF18" s="19">
        <f t="shared" si="11"/>
        <v>84541</v>
      </c>
      <c r="AG18" s="19">
        <f t="shared" si="12"/>
        <v>92376</v>
      </c>
      <c r="AH18" s="19">
        <f t="shared" si="13"/>
        <v>92577.4</v>
      </c>
      <c r="AI18" s="7"/>
      <c r="AJ18" s="7"/>
      <c r="AK18" s="7"/>
      <c r="AL18" s="19">
        <f t="shared" si="14"/>
        <v>84541</v>
      </c>
      <c r="AM18" s="19">
        <f t="shared" si="15"/>
        <v>92376</v>
      </c>
      <c r="AN18" s="19">
        <f t="shared" si="16"/>
        <v>92577.4</v>
      </c>
      <c r="AO18" s="7"/>
    </row>
    <row r="19" spans="1:41" ht="15.75">
      <c r="A19" s="5" t="s">
        <v>6</v>
      </c>
      <c r="B19" s="8" t="s">
        <v>17</v>
      </c>
      <c r="C19" s="6" t="s">
        <v>18</v>
      </c>
      <c r="D19" s="7">
        <v>4373.4</v>
      </c>
      <c r="E19" s="7">
        <f t="shared" si="17"/>
        <v>315.5</v>
      </c>
      <c r="F19" s="7">
        <v>4688.9</v>
      </c>
      <c r="G19" s="7">
        <v>4388.6</v>
      </c>
      <c r="H19" s="7">
        <f t="shared" si="18"/>
        <v>319.59999999999945</v>
      </c>
      <c r="I19" s="7">
        <v>4708.2</v>
      </c>
      <c r="J19" s="7">
        <v>4708.2</v>
      </c>
      <c r="K19" s="7"/>
      <c r="L19" s="7"/>
      <c r="M19" s="7"/>
      <c r="N19" s="7">
        <f t="shared" si="0"/>
        <v>315.5</v>
      </c>
      <c r="O19" s="7">
        <f t="shared" si="1"/>
        <v>4688.9</v>
      </c>
      <c r="P19" s="7">
        <f t="shared" si="2"/>
        <v>319.59999999999945</v>
      </c>
      <c r="Q19" s="7">
        <f t="shared" si="3"/>
        <v>4708.2</v>
      </c>
      <c r="R19" s="7">
        <f t="shared" si="4"/>
        <v>4708.2</v>
      </c>
      <c r="S19" s="19"/>
      <c r="T19" s="19"/>
      <c r="U19" s="19"/>
      <c r="V19" s="19">
        <f t="shared" si="5"/>
        <v>4688.9</v>
      </c>
      <c r="W19" s="19">
        <f t="shared" si="6"/>
        <v>4708.2</v>
      </c>
      <c r="X19" s="19">
        <f t="shared" si="7"/>
        <v>4708.2</v>
      </c>
      <c r="Y19" s="7"/>
      <c r="Z19" s="7"/>
      <c r="AA19" s="7"/>
      <c r="AB19" s="19">
        <f t="shared" si="8"/>
        <v>4688.9</v>
      </c>
      <c r="AC19" s="19">
        <f t="shared" si="9"/>
        <v>4708.2</v>
      </c>
      <c r="AD19" s="19">
        <f t="shared" si="10"/>
        <v>4708.2</v>
      </c>
      <c r="AE19" s="7"/>
      <c r="AF19" s="19">
        <f t="shared" si="11"/>
        <v>4688.9</v>
      </c>
      <c r="AG19" s="19">
        <f t="shared" si="12"/>
        <v>4708.2</v>
      </c>
      <c r="AH19" s="19">
        <f t="shared" si="13"/>
        <v>4708.2</v>
      </c>
      <c r="AI19" s="7"/>
      <c r="AJ19" s="7"/>
      <c r="AK19" s="7"/>
      <c r="AL19" s="19">
        <f t="shared" si="14"/>
        <v>4688.9</v>
      </c>
      <c r="AM19" s="19">
        <f t="shared" si="15"/>
        <v>4708.2</v>
      </c>
      <c r="AN19" s="19">
        <f t="shared" si="16"/>
        <v>4708.2</v>
      </c>
      <c r="AO19" s="7"/>
    </row>
    <row r="20" spans="1:41" ht="15.75">
      <c r="A20" s="5" t="s">
        <v>6</v>
      </c>
      <c r="B20" s="8" t="s">
        <v>20</v>
      </c>
      <c r="C20" s="6" t="s">
        <v>21</v>
      </c>
      <c r="D20" s="7">
        <v>70115.5</v>
      </c>
      <c r="E20" s="7">
        <f t="shared" si="17"/>
        <v>-3758.899999999994</v>
      </c>
      <c r="F20" s="7">
        <v>66356.6</v>
      </c>
      <c r="G20" s="7">
        <v>75163.8</v>
      </c>
      <c r="H20" s="7">
        <f t="shared" si="18"/>
        <v>0</v>
      </c>
      <c r="I20" s="7">
        <v>75163.8</v>
      </c>
      <c r="J20" s="7">
        <v>75163.8</v>
      </c>
      <c r="K20" s="7"/>
      <c r="L20" s="7"/>
      <c r="M20" s="7"/>
      <c r="N20" s="7">
        <f t="shared" si="0"/>
        <v>-3758.899999999994</v>
      </c>
      <c r="O20" s="7">
        <f t="shared" si="1"/>
        <v>66356.6</v>
      </c>
      <c r="P20" s="7">
        <f t="shared" si="2"/>
        <v>0</v>
      </c>
      <c r="Q20" s="7">
        <f t="shared" si="3"/>
        <v>75163.8</v>
      </c>
      <c r="R20" s="7">
        <f t="shared" si="4"/>
        <v>75163.8</v>
      </c>
      <c r="S20" s="19"/>
      <c r="T20" s="19"/>
      <c r="U20" s="19"/>
      <c r="V20" s="19">
        <f t="shared" si="5"/>
        <v>66356.6</v>
      </c>
      <c r="W20" s="19">
        <f t="shared" si="6"/>
        <v>75163.8</v>
      </c>
      <c r="X20" s="19">
        <f t="shared" si="7"/>
        <v>75163.8</v>
      </c>
      <c r="Y20" s="7"/>
      <c r="Z20" s="7"/>
      <c r="AA20" s="7"/>
      <c r="AB20" s="19">
        <f t="shared" si="8"/>
        <v>66356.6</v>
      </c>
      <c r="AC20" s="19">
        <f t="shared" si="9"/>
        <v>75163.8</v>
      </c>
      <c r="AD20" s="19">
        <f t="shared" si="10"/>
        <v>75163.8</v>
      </c>
      <c r="AE20" s="7"/>
      <c r="AF20" s="19">
        <f t="shared" si="11"/>
        <v>66356.6</v>
      </c>
      <c r="AG20" s="19">
        <f t="shared" si="12"/>
        <v>75163.8</v>
      </c>
      <c r="AH20" s="19">
        <f t="shared" si="13"/>
        <v>75163.8</v>
      </c>
      <c r="AI20" s="7"/>
      <c r="AJ20" s="7"/>
      <c r="AK20" s="7"/>
      <c r="AL20" s="19">
        <f t="shared" si="14"/>
        <v>66356.6</v>
      </c>
      <c r="AM20" s="19">
        <f t="shared" si="15"/>
        <v>75163.8</v>
      </c>
      <c r="AN20" s="19">
        <f t="shared" si="16"/>
        <v>75163.8</v>
      </c>
      <c r="AO20" s="7"/>
    </row>
    <row r="21" spans="1:41" ht="15.75">
      <c r="A21" s="5" t="s">
        <v>6</v>
      </c>
      <c r="B21" s="8" t="s">
        <v>22</v>
      </c>
      <c r="C21" s="6" t="s">
        <v>23</v>
      </c>
      <c r="D21" s="7">
        <v>381393</v>
      </c>
      <c r="E21" s="7">
        <f t="shared" si="17"/>
        <v>51272.09999999998</v>
      </c>
      <c r="F21" s="7">
        <v>432665.1</v>
      </c>
      <c r="G21" s="7">
        <v>385410.7</v>
      </c>
      <c r="H21" s="7">
        <f t="shared" si="18"/>
        <v>21309.29999999999</v>
      </c>
      <c r="I21" s="7">
        <v>406720</v>
      </c>
      <c r="J21" s="7">
        <v>417010</v>
      </c>
      <c r="K21" s="7">
        <f>-211.8-211.8-211.8-211.8-211.8-211.8-211.8-197.3+40+160</f>
        <v>-1479.8999999999999</v>
      </c>
      <c r="L21" s="7">
        <f>-219.6-219.6-219.6-219.6-219.6-219.6-219.6-212</f>
        <v>-1749.1999999999998</v>
      </c>
      <c r="M21" s="7">
        <f>-219.6-219.6-219.6-219.6-219.6-219.6-219.6-212</f>
        <v>-1749.1999999999998</v>
      </c>
      <c r="N21" s="7">
        <f t="shared" si="0"/>
        <v>49792.199999999975</v>
      </c>
      <c r="O21" s="7">
        <f t="shared" si="1"/>
        <v>431185.19999999995</v>
      </c>
      <c r="P21" s="7">
        <f t="shared" si="2"/>
        <v>19560.099999999988</v>
      </c>
      <c r="Q21" s="7">
        <f t="shared" si="3"/>
        <v>404970.8</v>
      </c>
      <c r="R21" s="7">
        <f t="shared" si="4"/>
        <v>415260.8</v>
      </c>
      <c r="S21" s="19">
        <f>2316+3963.1+3847.4+2911.5+3109.6+2571.1+2816.2+471.4+631.7+1000</f>
        <v>23638.000000000004</v>
      </c>
      <c r="T21" s="19"/>
      <c r="U21" s="19"/>
      <c r="V21" s="19">
        <f t="shared" si="5"/>
        <v>454823.19999999995</v>
      </c>
      <c r="W21" s="19">
        <f t="shared" si="6"/>
        <v>404970.8</v>
      </c>
      <c r="X21" s="19">
        <f t="shared" si="7"/>
        <v>415260.8</v>
      </c>
      <c r="Y21" s="7">
        <f>-1250+2500</f>
        <v>1250</v>
      </c>
      <c r="Z21" s="7"/>
      <c r="AA21" s="7"/>
      <c r="AB21" s="19">
        <f t="shared" si="8"/>
        <v>456073.19999999995</v>
      </c>
      <c r="AC21" s="19">
        <f t="shared" si="9"/>
        <v>404970.8</v>
      </c>
      <c r="AD21" s="19">
        <f t="shared" si="10"/>
        <v>415260.8</v>
      </c>
      <c r="AE21" s="7">
        <v>1250</v>
      </c>
      <c r="AF21" s="19">
        <f t="shared" si="11"/>
        <v>457323.19999999995</v>
      </c>
      <c r="AG21" s="19">
        <f t="shared" si="12"/>
        <v>404970.8</v>
      </c>
      <c r="AH21" s="19">
        <f t="shared" si="13"/>
        <v>415260.8</v>
      </c>
      <c r="AI21" s="7"/>
      <c r="AJ21" s="7"/>
      <c r="AK21" s="7"/>
      <c r="AL21" s="19">
        <f t="shared" si="14"/>
        <v>457323.19999999995</v>
      </c>
      <c r="AM21" s="19">
        <f t="shared" si="15"/>
        <v>404970.8</v>
      </c>
      <c r="AN21" s="19">
        <f t="shared" si="16"/>
        <v>415260.8</v>
      </c>
      <c r="AO21" s="7"/>
    </row>
    <row r="22" spans="1:41" s="16" customFormat="1" ht="31.5">
      <c r="A22" s="13" t="s">
        <v>11</v>
      </c>
      <c r="B22" s="13" t="s">
        <v>7</v>
      </c>
      <c r="C22" s="23" t="s">
        <v>24</v>
      </c>
      <c r="D22" s="15">
        <f>SUM(D23:D25)</f>
        <v>1285867.4999999998</v>
      </c>
      <c r="E22" s="15">
        <f t="shared" si="17"/>
        <v>-220668.2999999998</v>
      </c>
      <c r="F22" s="15">
        <f>SUM(F23:F25)</f>
        <v>1065199.2</v>
      </c>
      <c r="G22" s="15">
        <f>SUM(G23:G25)</f>
        <v>1289347.1</v>
      </c>
      <c r="H22" s="15">
        <f t="shared" si="18"/>
        <v>-72033.20000000019</v>
      </c>
      <c r="I22" s="15">
        <f>SUM(I23:I25)</f>
        <v>1217313.9</v>
      </c>
      <c r="J22" s="15">
        <f>SUM(J23:J25)</f>
        <v>1276957.7999999998</v>
      </c>
      <c r="K22" s="15">
        <f>SUM(K23:K25)</f>
        <v>0</v>
      </c>
      <c r="L22" s="15">
        <f>SUM(L23:L25)</f>
        <v>0</v>
      </c>
      <c r="M22" s="15">
        <f>SUM(M23:M25)</f>
        <v>0</v>
      </c>
      <c r="N22" s="15">
        <f t="shared" si="0"/>
        <v>-220668.2999999998</v>
      </c>
      <c r="O22" s="15">
        <f t="shared" si="1"/>
        <v>1065199.2</v>
      </c>
      <c r="P22" s="15">
        <f t="shared" si="2"/>
        <v>-72033.20000000019</v>
      </c>
      <c r="Q22" s="15">
        <f t="shared" si="3"/>
        <v>1217313.9</v>
      </c>
      <c r="R22" s="15">
        <f t="shared" si="4"/>
        <v>1276957.7999999998</v>
      </c>
      <c r="S22" s="18">
        <f>SUM(S23:S25)</f>
        <v>149733.3</v>
      </c>
      <c r="T22" s="18">
        <f>SUM(T23:T25)</f>
        <v>0</v>
      </c>
      <c r="U22" s="18">
        <f>SUM(U23:U25)</f>
        <v>0</v>
      </c>
      <c r="V22" s="18">
        <f t="shared" si="5"/>
        <v>1214932.5</v>
      </c>
      <c r="W22" s="18">
        <f t="shared" si="6"/>
        <v>1217313.9</v>
      </c>
      <c r="X22" s="18">
        <f t="shared" si="7"/>
        <v>1276957.7999999998</v>
      </c>
      <c r="Y22" s="15">
        <f>SUM(Y23:Y25)</f>
        <v>0</v>
      </c>
      <c r="Z22" s="15">
        <f>SUM(Z23:Z25)</f>
        <v>0</v>
      </c>
      <c r="AA22" s="15">
        <f>SUM(AA23:AA25)</f>
        <v>0</v>
      </c>
      <c r="AB22" s="18">
        <f t="shared" si="8"/>
        <v>1214932.5</v>
      </c>
      <c r="AC22" s="18">
        <f t="shared" si="9"/>
        <v>1217313.9</v>
      </c>
      <c r="AD22" s="18">
        <f t="shared" si="10"/>
        <v>1276957.7999999998</v>
      </c>
      <c r="AE22" s="15">
        <f>SUM(AE23:AE25)</f>
        <v>2148</v>
      </c>
      <c r="AF22" s="18">
        <f t="shared" si="11"/>
        <v>1217080.5</v>
      </c>
      <c r="AG22" s="18">
        <f t="shared" si="12"/>
        <v>1217313.9</v>
      </c>
      <c r="AH22" s="18">
        <f t="shared" si="13"/>
        <v>1276957.7999999998</v>
      </c>
      <c r="AI22" s="15">
        <f>SUM(AI23:AI25)</f>
        <v>0</v>
      </c>
      <c r="AJ22" s="15">
        <f>SUM(AJ23:AJ25)</f>
        <v>0</v>
      </c>
      <c r="AK22" s="15">
        <f>SUM(AK23:AK25)</f>
        <v>0</v>
      </c>
      <c r="AL22" s="18">
        <f t="shared" si="14"/>
        <v>1217080.5</v>
      </c>
      <c r="AM22" s="18">
        <f t="shared" si="15"/>
        <v>1217313.9</v>
      </c>
      <c r="AN22" s="18">
        <f t="shared" si="16"/>
        <v>1276957.7999999998</v>
      </c>
      <c r="AO22" s="15">
        <f>SUM(AO23:AO25)</f>
        <v>0</v>
      </c>
    </row>
    <row r="23" spans="1:41" ht="15.75">
      <c r="A23" s="5" t="s">
        <v>11</v>
      </c>
      <c r="B23" s="8" t="s">
        <v>9</v>
      </c>
      <c r="C23" s="6" t="s">
        <v>25</v>
      </c>
      <c r="D23" s="7">
        <v>1155316.9</v>
      </c>
      <c r="E23" s="7">
        <f t="shared" si="17"/>
        <v>-205037.3999999999</v>
      </c>
      <c r="F23" s="7">
        <v>950279.5</v>
      </c>
      <c r="G23" s="7">
        <v>1145510</v>
      </c>
      <c r="H23" s="7">
        <f t="shared" si="18"/>
        <v>-59718.5</v>
      </c>
      <c r="I23" s="7">
        <v>1085791.5</v>
      </c>
      <c r="J23" s="7">
        <v>1145149.2</v>
      </c>
      <c r="K23" s="7"/>
      <c r="L23" s="7"/>
      <c r="M23" s="7"/>
      <c r="N23" s="7">
        <f t="shared" si="0"/>
        <v>-205037.3999999999</v>
      </c>
      <c r="O23" s="7">
        <f t="shared" si="1"/>
        <v>950279.5</v>
      </c>
      <c r="P23" s="7">
        <f t="shared" si="2"/>
        <v>-59718.5</v>
      </c>
      <c r="Q23" s="7">
        <f t="shared" si="3"/>
        <v>1085791.5</v>
      </c>
      <c r="R23" s="7">
        <f t="shared" si="4"/>
        <v>1145149.2</v>
      </c>
      <c r="S23" s="19">
        <f>149733.3</f>
        <v>149733.3</v>
      </c>
      <c r="T23" s="19"/>
      <c r="U23" s="19"/>
      <c r="V23" s="19">
        <f t="shared" si="5"/>
        <v>1100012.8</v>
      </c>
      <c r="W23" s="19">
        <f t="shared" si="6"/>
        <v>1085791.5</v>
      </c>
      <c r="X23" s="19">
        <f t="shared" si="7"/>
        <v>1145149.2</v>
      </c>
      <c r="Y23" s="7"/>
      <c r="Z23" s="7"/>
      <c r="AA23" s="7"/>
      <c r="AB23" s="19">
        <f t="shared" si="8"/>
        <v>1100012.8</v>
      </c>
      <c r="AC23" s="19">
        <f t="shared" si="9"/>
        <v>1085791.5</v>
      </c>
      <c r="AD23" s="19">
        <f t="shared" si="10"/>
        <v>1145149.2</v>
      </c>
      <c r="AE23" s="7">
        <f>2148</f>
        <v>2148</v>
      </c>
      <c r="AF23" s="19">
        <f t="shared" si="11"/>
        <v>1102160.8</v>
      </c>
      <c r="AG23" s="19">
        <f t="shared" si="12"/>
        <v>1085791.5</v>
      </c>
      <c r="AH23" s="19">
        <f t="shared" si="13"/>
        <v>1145149.2</v>
      </c>
      <c r="AI23" s="7"/>
      <c r="AJ23" s="7"/>
      <c r="AK23" s="7"/>
      <c r="AL23" s="19">
        <f t="shared" si="14"/>
        <v>1102160.8</v>
      </c>
      <c r="AM23" s="19">
        <f t="shared" si="15"/>
        <v>1085791.5</v>
      </c>
      <c r="AN23" s="19">
        <f t="shared" si="16"/>
        <v>1145149.2</v>
      </c>
      <c r="AO23" s="7"/>
    </row>
    <row r="24" spans="1:41" ht="31.5">
      <c r="A24" s="5" t="s">
        <v>11</v>
      </c>
      <c r="B24" s="8" t="s">
        <v>26</v>
      </c>
      <c r="C24" s="9" t="s">
        <v>27</v>
      </c>
      <c r="D24" s="7">
        <v>98217.2</v>
      </c>
      <c r="E24" s="7">
        <f t="shared" si="17"/>
        <v>-13162.899999999994</v>
      </c>
      <c r="F24" s="7">
        <v>85054.3</v>
      </c>
      <c r="G24" s="7">
        <v>107439.8</v>
      </c>
      <c r="H24" s="7">
        <f t="shared" si="18"/>
        <v>-11487.400000000009</v>
      </c>
      <c r="I24" s="7">
        <v>95952.4</v>
      </c>
      <c r="J24" s="7">
        <v>99482.4</v>
      </c>
      <c r="K24" s="7"/>
      <c r="L24" s="7"/>
      <c r="M24" s="7"/>
      <c r="N24" s="7">
        <f t="shared" si="0"/>
        <v>-13162.899999999994</v>
      </c>
      <c r="O24" s="7">
        <f t="shared" si="1"/>
        <v>85054.3</v>
      </c>
      <c r="P24" s="7">
        <f t="shared" si="2"/>
        <v>-11487.400000000009</v>
      </c>
      <c r="Q24" s="7">
        <f t="shared" si="3"/>
        <v>95952.4</v>
      </c>
      <c r="R24" s="7">
        <f t="shared" si="4"/>
        <v>99482.4</v>
      </c>
      <c r="S24" s="19"/>
      <c r="T24" s="19"/>
      <c r="U24" s="19"/>
      <c r="V24" s="19">
        <f t="shared" si="5"/>
        <v>85054.3</v>
      </c>
      <c r="W24" s="19">
        <f t="shared" si="6"/>
        <v>95952.4</v>
      </c>
      <c r="X24" s="19">
        <f t="shared" si="7"/>
        <v>99482.4</v>
      </c>
      <c r="Y24" s="7"/>
      <c r="Z24" s="7"/>
      <c r="AA24" s="7"/>
      <c r="AB24" s="19">
        <f t="shared" si="8"/>
        <v>85054.3</v>
      </c>
      <c r="AC24" s="19">
        <f t="shared" si="9"/>
        <v>95952.4</v>
      </c>
      <c r="AD24" s="19">
        <f t="shared" si="10"/>
        <v>99482.4</v>
      </c>
      <c r="AE24" s="7"/>
      <c r="AF24" s="19">
        <f t="shared" si="11"/>
        <v>85054.3</v>
      </c>
      <c r="AG24" s="19">
        <f t="shared" si="12"/>
        <v>95952.4</v>
      </c>
      <c r="AH24" s="19">
        <f t="shared" si="13"/>
        <v>99482.4</v>
      </c>
      <c r="AI24" s="7">
        <v>303.3</v>
      </c>
      <c r="AJ24" s="7">
        <v>303.3</v>
      </c>
      <c r="AK24" s="7">
        <v>303.3</v>
      </c>
      <c r="AL24" s="19">
        <f t="shared" si="14"/>
        <v>85357.6</v>
      </c>
      <c r="AM24" s="19">
        <f t="shared" si="15"/>
        <v>96255.7</v>
      </c>
      <c r="AN24" s="19">
        <f t="shared" si="16"/>
        <v>99785.7</v>
      </c>
      <c r="AO24" s="7"/>
    </row>
    <row r="25" spans="1:41" ht="31.5">
      <c r="A25" s="5" t="s">
        <v>11</v>
      </c>
      <c r="B25" s="8" t="s">
        <v>22</v>
      </c>
      <c r="C25" s="6" t="s">
        <v>28</v>
      </c>
      <c r="D25" s="7">
        <v>32333.4</v>
      </c>
      <c r="E25" s="7">
        <f t="shared" si="17"/>
        <v>-2468</v>
      </c>
      <c r="F25" s="7">
        <v>29865.4</v>
      </c>
      <c r="G25" s="7">
        <v>36397.3</v>
      </c>
      <c r="H25" s="7">
        <f t="shared" si="18"/>
        <v>-827.3000000000029</v>
      </c>
      <c r="I25" s="7">
        <v>35570</v>
      </c>
      <c r="J25" s="7">
        <v>32326.2</v>
      </c>
      <c r="K25" s="7">
        <f>1320.3-48.3+120-686.3+90-1115.3+880-860+180-530+90-919.2+570-314+1030-182.2+40+335</f>
        <v>0</v>
      </c>
      <c r="L25" s="7">
        <f>1924.9-1086+120-3100+410-2947.5+1005-2495.5+480-2595.4+520-2136.9+1260+2180-623.8+140-1879.8+830+1500+1500+1500+1500+1500+495</f>
        <v>0</v>
      </c>
      <c r="M25" s="7">
        <f>1879.9-1086+120-3100+160-2947.5+1370-2495.5+790-2595.4+730-2136.9+2070+2010-623.8+130-1879.8+1500+1500+1500+1500+1500+105</f>
        <v>0</v>
      </c>
      <c r="N25" s="7">
        <f t="shared" si="0"/>
        <v>-2468</v>
      </c>
      <c r="O25" s="7">
        <f t="shared" si="1"/>
        <v>29865.4</v>
      </c>
      <c r="P25" s="7">
        <f t="shared" si="2"/>
        <v>-827.3000000000029</v>
      </c>
      <c r="Q25" s="7">
        <f t="shared" si="3"/>
        <v>35570</v>
      </c>
      <c r="R25" s="7">
        <f t="shared" si="4"/>
        <v>32326.2</v>
      </c>
      <c r="S25" s="19"/>
      <c r="T25" s="19"/>
      <c r="U25" s="19"/>
      <c r="V25" s="19">
        <f t="shared" si="5"/>
        <v>29865.4</v>
      </c>
      <c r="W25" s="19">
        <f t="shared" si="6"/>
        <v>35570</v>
      </c>
      <c r="X25" s="19">
        <f t="shared" si="7"/>
        <v>32326.2</v>
      </c>
      <c r="Y25" s="7"/>
      <c r="Z25" s="7"/>
      <c r="AA25" s="7"/>
      <c r="AB25" s="19">
        <f t="shared" si="8"/>
        <v>29865.4</v>
      </c>
      <c r="AC25" s="19">
        <f t="shared" si="9"/>
        <v>35570</v>
      </c>
      <c r="AD25" s="19">
        <f t="shared" si="10"/>
        <v>32326.2</v>
      </c>
      <c r="AE25" s="7"/>
      <c r="AF25" s="19">
        <f t="shared" si="11"/>
        <v>29865.4</v>
      </c>
      <c r="AG25" s="19">
        <f t="shared" si="12"/>
        <v>35570</v>
      </c>
      <c r="AH25" s="19">
        <f t="shared" si="13"/>
        <v>32326.2</v>
      </c>
      <c r="AI25" s="7">
        <f>-303.3</f>
        <v>-303.3</v>
      </c>
      <c r="AJ25" s="7">
        <f>-303.3</f>
        <v>-303.3</v>
      </c>
      <c r="AK25" s="7">
        <f>-303.3</f>
        <v>-303.3</v>
      </c>
      <c r="AL25" s="19">
        <f t="shared" si="14"/>
        <v>29562.100000000002</v>
      </c>
      <c r="AM25" s="19">
        <f t="shared" si="15"/>
        <v>35266.7</v>
      </c>
      <c r="AN25" s="19">
        <f t="shared" si="16"/>
        <v>32022.9</v>
      </c>
      <c r="AO25" s="7"/>
    </row>
    <row r="26" spans="1:41" s="16" customFormat="1" ht="15.75">
      <c r="A26" s="13" t="s">
        <v>13</v>
      </c>
      <c r="B26" s="13" t="s">
        <v>7</v>
      </c>
      <c r="C26" s="14" t="s">
        <v>29</v>
      </c>
      <c r="D26" s="15">
        <f>SUM(D27:D29)</f>
        <v>684622.3</v>
      </c>
      <c r="E26" s="15">
        <f t="shared" si="17"/>
        <v>405496.80000000005</v>
      </c>
      <c r="F26" s="15">
        <f>SUM(F27:F29)</f>
        <v>1090119.1</v>
      </c>
      <c r="G26" s="15">
        <f>SUM(G27:G29)</f>
        <v>417591.95</v>
      </c>
      <c r="H26" s="15">
        <f t="shared" si="18"/>
        <v>601532.6500000001</v>
      </c>
      <c r="I26" s="15">
        <f>SUM(I27:I29)</f>
        <v>1019124.6000000001</v>
      </c>
      <c r="J26" s="15">
        <f>SUM(J27:J29)</f>
        <v>1051027.6</v>
      </c>
      <c r="K26" s="15">
        <f>SUM(K27:K29)</f>
        <v>-90780</v>
      </c>
      <c r="L26" s="15">
        <f>SUM(L27:L29)</f>
        <v>-20049.3</v>
      </c>
      <c r="M26" s="15">
        <f>SUM(M27:M29)</f>
        <v>-5049.3</v>
      </c>
      <c r="N26" s="15">
        <f t="shared" si="0"/>
        <v>314716.80000000005</v>
      </c>
      <c r="O26" s="15">
        <f t="shared" si="1"/>
        <v>999339.1000000001</v>
      </c>
      <c r="P26" s="15">
        <f t="shared" si="2"/>
        <v>581483.3500000001</v>
      </c>
      <c r="Q26" s="15">
        <f t="shared" si="3"/>
        <v>999075.3</v>
      </c>
      <c r="R26" s="15">
        <f t="shared" si="4"/>
        <v>1045978.3</v>
      </c>
      <c r="S26" s="18">
        <f>SUM(S27:S29)</f>
        <v>0</v>
      </c>
      <c r="T26" s="18">
        <f>SUM(T27:T29)</f>
        <v>0</v>
      </c>
      <c r="U26" s="18">
        <f>SUM(U27:U29)</f>
        <v>0</v>
      </c>
      <c r="V26" s="18">
        <f t="shared" si="5"/>
        <v>999339.1000000001</v>
      </c>
      <c r="W26" s="18">
        <f t="shared" si="6"/>
        <v>999075.3</v>
      </c>
      <c r="X26" s="18">
        <f t="shared" si="7"/>
        <v>1045978.3</v>
      </c>
      <c r="Y26" s="15">
        <f>SUM(Y27:Y29)</f>
        <v>-13933.1</v>
      </c>
      <c r="Z26" s="15">
        <f>SUM(Z27:Z29)</f>
        <v>0</v>
      </c>
      <c r="AA26" s="15">
        <f>SUM(AA27:AA29)</f>
        <v>0</v>
      </c>
      <c r="AB26" s="18">
        <f t="shared" si="8"/>
        <v>985406.0000000001</v>
      </c>
      <c r="AC26" s="18">
        <f t="shared" si="9"/>
        <v>999075.3</v>
      </c>
      <c r="AD26" s="18">
        <f t="shared" si="10"/>
        <v>1045978.3</v>
      </c>
      <c r="AE26" s="15">
        <f>SUM(AE27:AE29)</f>
        <v>-2148</v>
      </c>
      <c r="AF26" s="18">
        <f t="shared" si="11"/>
        <v>983258.0000000001</v>
      </c>
      <c r="AG26" s="18">
        <f t="shared" si="12"/>
        <v>999075.3</v>
      </c>
      <c r="AH26" s="18">
        <f t="shared" si="13"/>
        <v>1045978.3</v>
      </c>
      <c r="AI26" s="15">
        <f>SUM(AI27:AI29)</f>
        <v>0</v>
      </c>
      <c r="AJ26" s="15">
        <f>SUM(AJ27:AJ29)</f>
        <v>0</v>
      </c>
      <c r="AK26" s="15">
        <f>SUM(AK27:AK29)</f>
        <v>0</v>
      </c>
      <c r="AL26" s="18">
        <f t="shared" si="14"/>
        <v>983258.0000000001</v>
      </c>
      <c r="AM26" s="18">
        <f t="shared" si="15"/>
        <v>999075.3</v>
      </c>
      <c r="AN26" s="18">
        <f t="shared" si="16"/>
        <v>1045978.3</v>
      </c>
      <c r="AO26" s="15">
        <f>SUM(AO27:AO29)</f>
        <v>0</v>
      </c>
    </row>
    <row r="27" spans="1:41" ht="15.75">
      <c r="A27" s="5" t="s">
        <v>13</v>
      </c>
      <c r="B27" s="8" t="s">
        <v>17</v>
      </c>
      <c r="C27" s="6" t="s">
        <v>30</v>
      </c>
      <c r="D27" s="7">
        <v>27384.2</v>
      </c>
      <c r="E27" s="7">
        <f t="shared" si="17"/>
        <v>-2721.100000000002</v>
      </c>
      <c r="F27" s="7">
        <v>24663.1</v>
      </c>
      <c r="G27" s="7">
        <v>22788.2</v>
      </c>
      <c r="H27" s="7">
        <f t="shared" si="18"/>
        <v>-2666.2000000000007</v>
      </c>
      <c r="I27" s="7">
        <v>20122</v>
      </c>
      <c r="J27" s="7">
        <v>20122</v>
      </c>
      <c r="K27" s="7"/>
      <c r="L27" s="7"/>
      <c r="M27" s="7"/>
      <c r="N27" s="7">
        <f t="shared" si="0"/>
        <v>-2721.100000000002</v>
      </c>
      <c r="O27" s="7">
        <f t="shared" si="1"/>
        <v>24663.1</v>
      </c>
      <c r="P27" s="7">
        <f t="shared" si="2"/>
        <v>-2666.2000000000007</v>
      </c>
      <c r="Q27" s="7">
        <f t="shared" si="3"/>
        <v>20122</v>
      </c>
      <c r="R27" s="7">
        <f t="shared" si="4"/>
        <v>20122</v>
      </c>
      <c r="S27" s="19"/>
      <c r="T27" s="19"/>
      <c r="U27" s="19"/>
      <c r="V27" s="19">
        <f t="shared" si="5"/>
        <v>24663.1</v>
      </c>
      <c r="W27" s="19">
        <f t="shared" si="6"/>
        <v>20122</v>
      </c>
      <c r="X27" s="19">
        <f t="shared" si="7"/>
        <v>20122</v>
      </c>
      <c r="Y27" s="7"/>
      <c r="Z27" s="7"/>
      <c r="AA27" s="7"/>
      <c r="AB27" s="19">
        <f t="shared" si="8"/>
        <v>24663.1</v>
      </c>
      <c r="AC27" s="19">
        <f t="shared" si="9"/>
        <v>20122</v>
      </c>
      <c r="AD27" s="19">
        <f t="shared" si="10"/>
        <v>20122</v>
      </c>
      <c r="AE27" s="7"/>
      <c r="AF27" s="19">
        <f t="shared" si="11"/>
        <v>24663.1</v>
      </c>
      <c r="AG27" s="19">
        <f t="shared" si="12"/>
        <v>20122</v>
      </c>
      <c r="AH27" s="19">
        <f t="shared" si="13"/>
        <v>20122</v>
      </c>
      <c r="AI27" s="7"/>
      <c r="AJ27" s="7"/>
      <c r="AK27" s="7"/>
      <c r="AL27" s="19">
        <f t="shared" si="14"/>
        <v>24663.1</v>
      </c>
      <c r="AM27" s="19">
        <f t="shared" si="15"/>
        <v>20122</v>
      </c>
      <c r="AN27" s="19">
        <f t="shared" si="16"/>
        <v>20122</v>
      </c>
      <c r="AO27" s="7"/>
    </row>
    <row r="28" spans="1:41" ht="15.75">
      <c r="A28" s="5" t="s">
        <v>13</v>
      </c>
      <c r="B28" s="8" t="s">
        <v>31</v>
      </c>
      <c r="C28" s="6" t="s">
        <v>32</v>
      </c>
      <c r="D28" s="7">
        <v>324089.3</v>
      </c>
      <c r="E28" s="7">
        <f t="shared" si="17"/>
        <v>226497.3</v>
      </c>
      <c r="F28" s="7">
        <v>550586.6</v>
      </c>
      <c r="G28" s="7">
        <v>207217.94</v>
      </c>
      <c r="H28" s="7">
        <f t="shared" si="18"/>
        <v>441833.86000000004</v>
      </c>
      <c r="I28" s="7">
        <v>649051.8</v>
      </c>
      <c r="J28" s="7">
        <v>645502</v>
      </c>
      <c r="K28" s="7"/>
      <c r="L28" s="7"/>
      <c r="M28" s="7"/>
      <c r="N28" s="7">
        <f t="shared" si="0"/>
        <v>226497.3</v>
      </c>
      <c r="O28" s="7">
        <f t="shared" si="1"/>
        <v>550586.6</v>
      </c>
      <c r="P28" s="7">
        <f t="shared" si="2"/>
        <v>441833.86000000004</v>
      </c>
      <c r="Q28" s="7">
        <f t="shared" si="3"/>
        <v>649051.8</v>
      </c>
      <c r="R28" s="7">
        <f t="shared" si="4"/>
        <v>645502</v>
      </c>
      <c r="S28" s="19"/>
      <c r="T28" s="19"/>
      <c r="U28" s="19"/>
      <c r="V28" s="19">
        <f t="shared" si="5"/>
        <v>550586.6</v>
      </c>
      <c r="W28" s="19">
        <f t="shared" si="6"/>
        <v>649051.8</v>
      </c>
      <c r="X28" s="19">
        <f t="shared" si="7"/>
        <v>645502</v>
      </c>
      <c r="Y28" s="7"/>
      <c r="Z28" s="7"/>
      <c r="AA28" s="7"/>
      <c r="AB28" s="19">
        <f t="shared" si="8"/>
        <v>550586.6</v>
      </c>
      <c r="AC28" s="19">
        <f t="shared" si="9"/>
        <v>649051.8</v>
      </c>
      <c r="AD28" s="19">
        <f t="shared" si="10"/>
        <v>645502</v>
      </c>
      <c r="AE28" s="7">
        <f>24667.5-24667.5-2148</f>
        <v>-2148</v>
      </c>
      <c r="AF28" s="19">
        <f t="shared" si="11"/>
        <v>548438.6</v>
      </c>
      <c r="AG28" s="19">
        <f t="shared" si="12"/>
        <v>649051.8</v>
      </c>
      <c r="AH28" s="19">
        <f t="shared" si="13"/>
        <v>645502</v>
      </c>
      <c r="AI28" s="7"/>
      <c r="AJ28" s="7"/>
      <c r="AK28" s="7"/>
      <c r="AL28" s="19">
        <f t="shared" si="14"/>
        <v>548438.6</v>
      </c>
      <c r="AM28" s="19">
        <f t="shared" si="15"/>
        <v>649051.8</v>
      </c>
      <c r="AN28" s="19">
        <f t="shared" si="16"/>
        <v>645502</v>
      </c>
      <c r="AO28" s="7"/>
    </row>
    <row r="29" spans="1:41" ht="15.75">
      <c r="A29" s="5" t="s">
        <v>13</v>
      </c>
      <c r="B29" s="8" t="s">
        <v>20</v>
      </c>
      <c r="C29" s="6" t="s">
        <v>33</v>
      </c>
      <c r="D29" s="7">
        <v>333148.8</v>
      </c>
      <c r="E29" s="7">
        <f t="shared" si="17"/>
        <v>181720.60000000003</v>
      </c>
      <c r="F29" s="7">
        <v>514869.4</v>
      </c>
      <c r="G29" s="7">
        <v>187585.81</v>
      </c>
      <c r="H29" s="7">
        <f t="shared" si="18"/>
        <v>162364.99</v>
      </c>
      <c r="I29" s="7">
        <v>349950.8</v>
      </c>
      <c r="J29" s="7">
        <v>385403.6</v>
      </c>
      <c r="K29" s="7">
        <f>-22895.6-5049.3-72083.8+9248.7</f>
        <v>-90780</v>
      </c>
      <c r="L29" s="7">
        <f>-5049.3-15000</f>
        <v>-20049.3</v>
      </c>
      <c r="M29" s="7">
        <f>-5049.3</f>
        <v>-5049.3</v>
      </c>
      <c r="N29" s="7">
        <f t="shared" si="0"/>
        <v>90940.60000000003</v>
      </c>
      <c r="O29" s="7">
        <f t="shared" si="1"/>
        <v>424089.4</v>
      </c>
      <c r="P29" s="7">
        <f t="shared" si="2"/>
        <v>142315.69</v>
      </c>
      <c r="Q29" s="7">
        <f t="shared" si="3"/>
        <v>329901.5</v>
      </c>
      <c r="R29" s="7">
        <f t="shared" si="4"/>
        <v>380354.3</v>
      </c>
      <c r="S29" s="19"/>
      <c r="T29" s="19"/>
      <c r="U29" s="19"/>
      <c r="V29" s="19">
        <f t="shared" si="5"/>
        <v>424089.4</v>
      </c>
      <c r="W29" s="19">
        <f t="shared" si="6"/>
        <v>329901.5</v>
      </c>
      <c r="X29" s="19">
        <f t="shared" si="7"/>
        <v>380354.3</v>
      </c>
      <c r="Y29" s="7">
        <f>-4200-9733.1</f>
        <v>-13933.1</v>
      </c>
      <c r="Z29" s="7"/>
      <c r="AA29" s="7"/>
      <c r="AB29" s="19">
        <f t="shared" si="8"/>
        <v>410156.30000000005</v>
      </c>
      <c r="AC29" s="19">
        <f t="shared" si="9"/>
        <v>329901.5</v>
      </c>
      <c r="AD29" s="19">
        <f t="shared" si="10"/>
        <v>380354.3</v>
      </c>
      <c r="AE29" s="7"/>
      <c r="AF29" s="19">
        <f t="shared" si="11"/>
        <v>410156.30000000005</v>
      </c>
      <c r="AG29" s="19">
        <f t="shared" si="12"/>
        <v>329901.5</v>
      </c>
      <c r="AH29" s="19">
        <f t="shared" si="13"/>
        <v>380354.3</v>
      </c>
      <c r="AI29" s="7"/>
      <c r="AJ29" s="7"/>
      <c r="AK29" s="7"/>
      <c r="AL29" s="19">
        <f t="shared" si="14"/>
        <v>410156.30000000005</v>
      </c>
      <c r="AM29" s="19">
        <f t="shared" si="15"/>
        <v>329901.5</v>
      </c>
      <c r="AN29" s="19">
        <f t="shared" si="16"/>
        <v>380354.3</v>
      </c>
      <c r="AO29" s="7"/>
    </row>
    <row r="30" spans="1:41" s="16" customFormat="1" ht="15.75">
      <c r="A30" s="13" t="s">
        <v>34</v>
      </c>
      <c r="B30" s="13" t="s">
        <v>7</v>
      </c>
      <c r="C30" s="14" t="s">
        <v>35</v>
      </c>
      <c r="D30" s="15">
        <f>SUM(D31:D34)</f>
        <v>3664653.3000000003</v>
      </c>
      <c r="E30" s="15">
        <f t="shared" si="17"/>
        <v>445329.09999999916</v>
      </c>
      <c r="F30" s="15">
        <f>SUM(F31:F34)</f>
        <v>4109982.3999999994</v>
      </c>
      <c r="G30" s="15">
        <f>SUM(G31:G34)</f>
        <v>2819980.1</v>
      </c>
      <c r="H30" s="15">
        <f t="shared" si="18"/>
        <v>821125.4999999995</v>
      </c>
      <c r="I30" s="15">
        <f>SUM(I31:I34)</f>
        <v>3641105.5999999996</v>
      </c>
      <c r="J30" s="15">
        <f>SUM(J31:J34)</f>
        <v>3662171.7</v>
      </c>
      <c r="K30" s="15">
        <f>SUM(K31:K34)</f>
        <v>-3015.9</v>
      </c>
      <c r="L30" s="15">
        <f>SUM(L31:L34)</f>
        <v>-3045.9</v>
      </c>
      <c r="M30" s="15">
        <f>SUM(M31:M34)</f>
        <v>-3045.9</v>
      </c>
      <c r="N30" s="15">
        <f t="shared" si="0"/>
        <v>442313.19999999914</v>
      </c>
      <c r="O30" s="15">
        <f t="shared" si="1"/>
        <v>4106966.4999999995</v>
      </c>
      <c r="P30" s="15">
        <f t="shared" si="2"/>
        <v>818079.5999999995</v>
      </c>
      <c r="Q30" s="15">
        <f t="shared" si="3"/>
        <v>3638059.6999999997</v>
      </c>
      <c r="R30" s="15">
        <f t="shared" si="4"/>
        <v>3659125.8000000003</v>
      </c>
      <c r="S30" s="18">
        <f>SUM(S31:S34)</f>
        <v>0</v>
      </c>
      <c r="T30" s="18">
        <f>SUM(T31:T34)</f>
        <v>0</v>
      </c>
      <c r="U30" s="18">
        <f>SUM(U31:U34)</f>
        <v>0</v>
      </c>
      <c r="V30" s="18">
        <f t="shared" si="5"/>
        <v>4106966.4999999995</v>
      </c>
      <c r="W30" s="18">
        <f t="shared" si="6"/>
        <v>3638059.6999999997</v>
      </c>
      <c r="X30" s="18">
        <f t="shared" si="7"/>
        <v>3659125.8000000003</v>
      </c>
      <c r="Y30" s="15">
        <f>SUM(Y31:Y34)</f>
        <v>0</v>
      </c>
      <c r="Z30" s="15">
        <f>SUM(Z31:Z34)</f>
        <v>0</v>
      </c>
      <c r="AA30" s="15">
        <f>SUM(AA31:AA34)</f>
        <v>0</v>
      </c>
      <c r="AB30" s="18">
        <f t="shared" si="8"/>
        <v>4106966.4999999995</v>
      </c>
      <c r="AC30" s="18">
        <f t="shared" si="9"/>
        <v>3638059.6999999997</v>
      </c>
      <c r="AD30" s="18">
        <f t="shared" si="10"/>
        <v>3659125.8000000003</v>
      </c>
      <c r="AE30" s="15">
        <f>SUM(AE31:AE34)</f>
        <v>0</v>
      </c>
      <c r="AF30" s="18">
        <f t="shared" si="11"/>
        <v>4106966.4999999995</v>
      </c>
      <c r="AG30" s="18">
        <f t="shared" si="12"/>
        <v>3638059.6999999997</v>
      </c>
      <c r="AH30" s="18">
        <f t="shared" si="13"/>
        <v>3659125.8000000003</v>
      </c>
      <c r="AI30" s="15">
        <f>SUM(AI31:AI34)</f>
        <v>0</v>
      </c>
      <c r="AJ30" s="15">
        <f>SUM(AJ31:AJ34)</f>
        <v>0</v>
      </c>
      <c r="AK30" s="15">
        <f>SUM(AK31:AK34)</f>
        <v>0</v>
      </c>
      <c r="AL30" s="18">
        <f t="shared" si="14"/>
        <v>4106966.4999999995</v>
      </c>
      <c r="AM30" s="18">
        <f t="shared" si="15"/>
        <v>3638059.6999999997</v>
      </c>
      <c r="AN30" s="18">
        <f t="shared" si="16"/>
        <v>3659125.8000000003</v>
      </c>
      <c r="AO30" s="15">
        <f>SUM(AO31:AO34)</f>
        <v>0</v>
      </c>
    </row>
    <row r="31" spans="1:41" ht="15.75">
      <c r="A31" s="5" t="s">
        <v>34</v>
      </c>
      <c r="B31" s="8" t="s">
        <v>6</v>
      </c>
      <c r="C31" s="6" t="s">
        <v>36</v>
      </c>
      <c r="D31" s="7">
        <v>1047219</v>
      </c>
      <c r="E31" s="7">
        <f t="shared" si="17"/>
        <v>-57714.09999999998</v>
      </c>
      <c r="F31" s="7">
        <v>989504.9</v>
      </c>
      <c r="G31" s="7">
        <v>198923</v>
      </c>
      <c r="H31" s="7">
        <f t="shared" si="18"/>
        <v>233027.2</v>
      </c>
      <c r="I31" s="7">
        <v>431950.2</v>
      </c>
      <c r="J31" s="7">
        <v>426429.8</v>
      </c>
      <c r="K31" s="7">
        <f>139.515+410.485</f>
        <v>550</v>
      </c>
      <c r="L31" s="7"/>
      <c r="M31" s="7"/>
      <c r="N31" s="7">
        <f t="shared" si="0"/>
        <v>-57164.09999999998</v>
      </c>
      <c r="O31" s="7">
        <f t="shared" si="1"/>
        <v>990054.9</v>
      </c>
      <c r="P31" s="7">
        <f t="shared" si="2"/>
        <v>233027.2</v>
      </c>
      <c r="Q31" s="7">
        <f t="shared" si="3"/>
        <v>431950.2</v>
      </c>
      <c r="R31" s="7">
        <f t="shared" si="4"/>
        <v>426429.8</v>
      </c>
      <c r="S31" s="19"/>
      <c r="T31" s="19"/>
      <c r="U31" s="19"/>
      <c r="V31" s="19">
        <f t="shared" si="5"/>
        <v>990054.9</v>
      </c>
      <c r="W31" s="19">
        <f t="shared" si="6"/>
        <v>431950.2</v>
      </c>
      <c r="X31" s="19">
        <f t="shared" si="7"/>
        <v>426429.8</v>
      </c>
      <c r="Y31" s="7"/>
      <c r="Z31" s="7"/>
      <c r="AA31" s="7"/>
      <c r="AB31" s="19">
        <f t="shared" si="8"/>
        <v>990054.9</v>
      </c>
      <c r="AC31" s="19">
        <f t="shared" si="9"/>
        <v>431950.2</v>
      </c>
      <c r="AD31" s="19">
        <f t="shared" si="10"/>
        <v>426429.8</v>
      </c>
      <c r="AE31" s="7"/>
      <c r="AF31" s="19">
        <f t="shared" si="11"/>
        <v>990054.9</v>
      </c>
      <c r="AG31" s="19">
        <f t="shared" si="12"/>
        <v>431950.2</v>
      </c>
      <c r="AH31" s="19">
        <f t="shared" si="13"/>
        <v>426429.8</v>
      </c>
      <c r="AI31" s="7"/>
      <c r="AJ31" s="7"/>
      <c r="AK31" s="7"/>
      <c r="AL31" s="19">
        <f t="shared" si="14"/>
        <v>990054.9</v>
      </c>
      <c r="AM31" s="19">
        <f t="shared" si="15"/>
        <v>431950.2</v>
      </c>
      <c r="AN31" s="19">
        <f t="shared" si="16"/>
        <v>426429.8</v>
      </c>
      <c r="AO31" s="7"/>
    </row>
    <row r="32" spans="1:41" ht="15.75">
      <c r="A32" s="5" t="s">
        <v>34</v>
      </c>
      <c r="B32" s="8" t="s">
        <v>9</v>
      </c>
      <c r="C32" s="6" t="s">
        <v>37</v>
      </c>
      <c r="D32" s="7">
        <v>359044.6</v>
      </c>
      <c r="E32" s="7">
        <f t="shared" si="17"/>
        <v>90740.30000000005</v>
      </c>
      <c r="F32" s="7">
        <v>449784.9</v>
      </c>
      <c r="G32" s="7">
        <v>208010.5</v>
      </c>
      <c r="H32" s="7">
        <f t="shared" si="18"/>
        <v>-36591.899999999994</v>
      </c>
      <c r="I32" s="7">
        <v>171418.6</v>
      </c>
      <c r="J32" s="7">
        <v>171071.9</v>
      </c>
      <c r="K32" s="7">
        <f>-3045.9</f>
        <v>-3045.9</v>
      </c>
      <c r="L32" s="7">
        <f>-3045.9</f>
        <v>-3045.9</v>
      </c>
      <c r="M32" s="7">
        <f>-3045.9</f>
        <v>-3045.9</v>
      </c>
      <c r="N32" s="7">
        <f t="shared" si="0"/>
        <v>87694.40000000005</v>
      </c>
      <c r="O32" s="7">
        <f t="shared" si="1"/>
        <v>446739</v>
      </c>
      <c r="P32" s="7">
        <f t="shared" si="2"/>
        <v>-39637.799999999996</v>
      </c>
      <c r="Q32" s="7">
        <f t="shared" si="3"/>
        <v>168372.7</v>
      </c>
      <c r="R32" s="7">
        <f t="shared" si="4"/>
        <v>168026</v>
      </c>
      <c r="S32" s="19"/>
      <c r="T32" s="19"/>
      <c r="U32" s="19"/>
      <c r="V32" s="19">
        <f t="shared" si="5"/>
        <v>446739</v>
      </c>
      <c r="W32" s="19">
        <f t="shared" si="6"/>
        <v>168372.7</v>
      </c>
      <c r="X32" s="19">
        <f t="shared" si="7"/>
        <v>168026</v>
      </c>
      <c r="Y32" s="7"/>
      <c r="Z32" s="7"/>
      <c r="AA32" s="7"/>
      <c r="AB32" s="19">
        <f t="shared" si="8"/>
        <v>446739</v>
      </c>
      <c r="AC32" s="19">
        <f t="shared" si="9"/>
        <v>168372.7</v>
      </c>
      <c r="AD32" s="19">
        <f t="shared" si="10"/>
        <v>168026</v>
      </c>
      <c r="AE32" s="7"/>
      <c r="AF32" s="19">
        <f t="shared" si="11"/>
        <v>446739</v>
      </c>
      <c r="AG32" s="19">
        <f t="shared" si="12"/>
        <v>168372.7</v>
      </c>
      <c r="AH32" s="19">
        <f t="shared" si="13"/>
        <v>168026</v>
      </c>
      <c r="AI32" s="7"/>
      <c r="AJ32" s="7"/>
      <c r="AK32" s="7"/>
      <c r="AL32" s="19">
        <f t="shared" si="14"/>
        <v>446739</v>
      </c>
      <c r="AM32" s="19">
        <f t="shared" si="15"/>
        <v>168372.7</v>
      </c>
      <c r="AN32" s="19">
        <f t="shared" si="16"/>
        <v>168026</v>
      </c>
      <c r="AO32" s="7"/>
    </row>
    <row r="33" spans="1:41" ht="15.75">
      <c r="A33" s="5" t="s">
        <v>34</v>
      </c>
      <c r="B33" s="8" t="s">
        <v>11</v>
      </c>
      <c r="C33" s="6" t="s">
        <v>38</v>
      </c>
      <c r="D33" s="7">
        <v>2079660</v>
      </c>
      <c r="E33" s="7">
        <f t="shared" si="17"/>
        <v>445704.2999999998</v>
      </c>
      <c r="F33" s="7">
        <f>2521364.3+4000</f>
        <v>2525364.3</v>
      </c>
      <c r="G33" s="7">
        <v>2220336.4</v>
      </c>
      <c r="H33" s="7">
        <f t="shared" si="18"/>
        <v>659102.3999999999</v>
      </c>
      <c r="I33" s="7">
        <v>2879438.8</v>
      </c>
      <c r="J33" s="7">
        <v>2901228.7</v>
      </c>
      <c r="K33" s="7">
        <f>-520</f>
        <v>-520</v>
      </c>
      <c r="L33" s="7"/>
      <c r="M33" s="7"/>
      <c r="N33" s="7">
        <f t="shared" si="0"/>
        <v>445184.2999999998</v>
      </c>
      <c r="O33" s="7">
        <f t="shared" si="1"/>
        <v>2524844.3</v>
      </c>
      <c r="P33" s="7">
        <f t="shared" si="2"/>
        <v>659102.3999999999</v>
      </c>
      <c r="Q33" s="7">
        <f t="shared" si="3"/>
        <v>2879438.8</v>
      </c>
      <c r="R33" s="7">
        <f t="shared" si="4"/>
        <v>2901228.7</v>
      </c>
      <c r="S33" s="19"/>
      <c r="T33" s="19"/>
      <c r="U33" s="19"/>
      <c r="V33" s="19">
        <f t="shared" si="5"/>
        <v>2524844.3</v>
      </c>
      <c r="W33" s="19">
        <f t="shared" si="6"/>
        <v>2879438.8</v>
      </c>
      <c r="X33" s="19">
        <f t="shared" si="7"/>
        <v>2901228.7</v>
      </c>
      <c r="Y33" s="7"/>
      <c r="Z33" s="7"/>
      <c r="AA33" s="7"/>
      <c r="AB33" s="19">
        <f t="shared" si="8"/>
        <v>2524844.3</v>
      </c>
      <c r="AC33" s="19">
        <f t="shared" si="9"/>
        <v>2879438.8</v>
      </c>
      <c r="AD33" s="19">
        <f t="shared" si="10"/>
        <v>2901228.7</v>
      </c>
      <c r="AE33" s="7"/>
      <c r="AF33" s="19">
        <f t="shared" si="11"/>
        <v>2524844.3</v>
      </c>
      <c r="AG33" s="19">
        <f t="shared" si="12"/>
        <v>2879438.8</v>
      </c>
      <c r="AH33" s="19">
        <f t="shared" si="13"/>
        <v>2901228.7</v>
      </c>
      <c r="AI33" s="7"/>
      <c r="AJ33" s="7"/>
      <c r="AK33" s="7"/>
      <c r="AL33" s="19">
        <f t="shared" si="14"/>
        <v>2524844.3</v>
      </c>
      <c r="AM33" s="19">
        <f t="shared" si="15"/>
        <v>2879438.8</v>
      </c>
      <c r="AN33" s="19">
        <f t="shared" si="16"/>
        <v>2901228.7</v>
      </c>
      <c r="AO33" s="7"/>
    </row>
    <row r="34" spans="1:41" ht="15.75">
      <c r="A34" s="5" t="s">
        <v>34</v>
      </c>
      <c r="B34" s="8" t="s">
        <v>34</v>
      </c>
      <c r="C34" s="6" t="s">
        <v>39</v>
      </c>
      <c r="D34" s="7">
        <v>178729.7</v>
      </c>
      <c r="E34" s="7">
        <f t="shared" si="17"/>
        <v>-33401.40000000002</v>
      </c>
      <c r="F34" s="7">
        <v>145328.3</v>
      </c>
      <c r="G34" s="7">
        <v>192710.2</v>
      </c>
      <c r="H34" s="7">
        <f t="shared" si="18"/>
        <v>-34412.20000000001</v>
      </c>
      <c r="I34" s="7">
        <v>158298</v>
      </c>
      <c r="J34" s="7">
        <v>163441.3</v>
      </c>
      <c r="K34" s="7"/>
      <c r="L34" s="7"/>
      <c r="M34" s="7"/>
      <c r="N34" s="7">
        <f t="shared" si="0"/>
        <v>-33401.40000000002</v>
      </c>
      <c r="O34" s="7">
        <f t="shared" si="1"/>
        <v>145328.3</v>
      </c>
      <c r="P34" s="7">
        <f t="shared" si="2"/>
        <v>-34412.20000000001</v>
      </c>
      <c r="Q34" s="7">
        <f t="shared" si="3"/>
        <v>158298</v>
      </c>
      <c r="R34" s="7">
        <f t="shared" si="4"/>
        <v>163441.3</v>
      </c>
      <c r="S34" s="19"/>
      <c r="T34" s="19"/>
      <c r="U34" s="19"/>
      <c r="V34" s="19">
        <f t="shared" si="5"/>
        <v>145328.3</v>
      </c>
      <c r="W34" s="19">
        <f t="shared" si="6"/>
        <v>158298</v>
      </c>
      <c r="X34" s="19">
        <f t="shared" si="7"/>
        <v>163441.3</v>
      </c>
      <c r="Y34" s="7"/>
      <c r="Z34" s="7"/>
      <c r="AA34" s="7"/>
      <c r="AB34" s="19">
        <f t="shared" si="8"/>
        <v>145328.3</v>
      </c>
      <c r="AC34" s="19">
        <f t="shared" si="9"/>
        <v>158298</v>
      </c>
      <c r="AD34" s="19">
        <f t="shared" si="10"/>
        <v>163441.3</v>
      </c>
      <c r="AE34" s="7"/>
      <c r="AF34" s="19">
        <f t="shared" si="11"/>
        <v>145328.3</v>
      </c>
      <c r="AG34" s="19">
        <f t="shared" si="12"/>
        <v>158298</v>
      </c>
      <c r="AH34" s="19">
        <f t="shared" si="13"/>
        <v>163441.3</v>
      </c>
      <c r="AI34" s="7"/>
      <c r="AJ34" s="7"/>
      <c r="AK34" s="7"/>
      <c r="AL34" s="19">
        <f t="shared" si="14"/>
        <v>145328.3</v>
      </c>
      <c r="AM34" s="19">
        <f t="shared" si="15"/>
        <v>158298</v>
      </c>
      <c r="AN34" s="19">
        <f t="shared" si="16"/>
        <v>163441.3</v>
      </c>
      <c r="AO34" s="7"/>
    </row>
    <row r="35" spans="1:41" s="16" customFormat="1" ht="15.75">
      <c r="A35" s="13" t="s">
        <v>15</v>
      </c>
      <c r="B35" s="13" t="s">
        <v>7</v>
      </c>
      <c r="C35" s="14" t="s">
        <v>40</v>
      </c>
      <c r="D35" s="15">
        <f>SUM(D36:D38)</f>
        <v>37028.9</v>
      </c>
      <c r="E35" s="15">
        <f t="shared" si="17"/>
        <v>2636.0999999999985</v>
      </c>
      <c r="F35" s="15">
        <f>SUM(F36:F38)</f>
        <v>39665</v>
      </c>
      <c r="G35" s="15">
        <f>SUM(G36:G38)</f>
        <v>39033.55</v>
      </c>
      <c r="H35" s="15">
        <f t="shared" si="18"/>
        <v>-2108.550000000003</v>
      </c>
      <c r="I35" s="15">
        <f>SUM(I36:I38)</f>
        <v>36925</v>
      </c>
      <c r="J35" s="15">
        <f>SUM(J36:J38)</f>
        <v>36944</v>
      </c>
      <c r="K35" s="15">
        <f>SUM(K36:K38)</f>
        <v>0</v>
      </c>
      <c r="L35" s="15">
        <f>SUM(L36:L38)</f>
        <v>0</v>
      </c>
      <c r="M35" s="15">
        <f>SUM(M36:M38)</f>
        <v>0</v>
      </c>
      <c r="N35" s="15">
        <f t="shared" si="0"/>
        <v>2636.0999999999985</v>
      </c>
      <c r="O35" s="15">
        <f t="shared" si="1"/>
        <v>39665</v>
      </c>
      <c r="P35" s="15">
        <f t="shared" si="2"/>
        <v>-2108.550000000003</v>
      </c>
      <c r="Q35" s="15">
        <f t="shared" si="3"/>
        <v>36925</v>
      </c>
      <c r="R35" s="15">
        <f t="shared" si="4"/>
        <v>36944</v>
      </c>
      <c r="S35" s="18">
        <f>SUM(S36:S38)</f>
        <v>0</v>
      </c>
      <c r="T35" s="18">
        <f>SUM(T36:T38)</f>
        <v>0</v>
      </c>
      <c r="U35" s="18">
        <f>SUM(U36:U38)</f>
        <v>0</v>
      </c>
      <c r="V35" s="18">
        <f t="shared" si="5"/>
        <v>39665</v>
      </c>
      <c r="W35" s="18">
        <f t="shared" si="6"/>
        <v>36925</v>
      </c>
      <c r="X35" s="18">
        <f t="shared" si="7"/>
        <v>36944</v>
      </c>
      <c r="Y35" s="15">
        <f>SUM(Y36:Y38)</f>
        <v>0</v>
      </c>
      <c r="Z35" s="15">
        <f>SUM(Z36:Z38)</f>
        <v>0</v>
      </c>
      <c r="AA35" s="15">
        <f>SUM(AA36:AA38)</f>
        <v>0</v>
      </c>
      <c r="AB35" s="18">
        <f t="shared" si="8"/>
        <v>39665</v>
      </c>
      <c r="AC35" s="18">
        <f t="shared" si="9"/>
        <v>36925</v>
      </c>
      <c r="AD35" s="18">
        <f t="shared" si="10"/>
        <v>36944</v>
      </c>
      <c r="AE35" s="15">
        <f>SUM(AE36:AE38)</f>
        <v>0</v>
      </c>
      <c r="AF35" s="18">
        <f t="shared" si="11"/>
        <v>39665</v>
      </c>
      <c r="AG35" s="18">
        <f t="shared" si="12"/>
        <v>36925</v>
      </c>
      <c r="AH35" s="18">
        <f t="shared" si="13"/>
        <v>36944</v>
      </c>
      <c r="AI35" s="15">
        <f>SUM(AI36:AI38)</f>
        <v>0</v>
      </c>
      <c r="AJ35" s="15">
        <f>SUM(AJ36:AJ38)</f>
        <v>0</v>
      </c>
      <c r="AK35" s="15">
        <f>SUM(AK36:AK38)</f>
        <v>0</v>
      </c>
      <c r="AL35" s="18">
        <f t="shared" si="14"/>
        <v>39665</v>
      </c>
      <c r="AM35" s="18">
        <f t="shared" si="15"/>
        <v>36925</v>
      </c>
      <c r="AN35" s="18">
        <f t="shared" si="16"/>
        <v>36944</v>
      </c>
      <c r="AO35" s="15">
        <f>SUM(AO36:AO38)</f>
        <v>0</v>
      </c>
    </row>
    <row r="36" spans="1:41" ht="15.75">
      <c r="A36" s="5" t="s">
        <v>15</v>
      </c>
      <c r="B36" s="8" t="s">
        <v>9</v>
      </c>
      <c r="C36" s="6" t="s">
        <v>72</v>
      </c>
      <c r="D36" s="7"/>
      <c r="E36" s="7">
        <f t="shared" si="17"/>
        <v>5000</v>
      </c>
      <c r="F36" s="7">
        <v>5000</v>
      </c>
      <c r="G36" s="7">
        <v>0</v>
      </c>
      <c r="H36" s="7">
        <f t="shared" si="18"/>
        <v>0</v>
      </c>
      <c r="I36" s="7">
        <v>0</v>
      </c>
      <c r="J36" s="7">
        <v>0</v>
      </c>
      <c r="K36" s="7"/>
      <c r="L36" s="7"/>
      <c r="M36" s="7"/>
      <c r="N36" s="7">
        <f t="shared" si="0"/>
        <v>5000</v>
      </c>
      <c r="O36" s="7">
        <f t="shared" si="1"/>
        <v>5000</v>
      </c>
      <c r="P36" s="7">
        <f t="shared" si="2"/>
        <v>0</v>
      </c>
      <c r="Q36" s="7">
        <f t="shared" si="3"/>
        <v>0</v>
      </c>
      <c r="R36" s="7">
        <f t="shared" si="4"/>
        <v>0</v>
      </c>
      <c r="S36" s="19"/>
      <c r="T36" s="19"/>
      <c r="U36" s="19"/>
      <c r="V36" s="19">
        <f t="shared" si="5"/>
        <v>5000</v>
      </c>
      <c r="W36" s="19">
        <f t="shared" si="6"/>
        <v>0</v>
      </c>
      <c r="X36" s="19">
        <f t="shared" si="7"/>
        <v>0</v>
      </c>
      <c r="Y36" s="7"/>
      <c r="Z36" s="7"/>
      <c r="AA36" s="7"/>
      <c r="AB36" s="19">
        <f t="shared" si="8"/>
        <v>5000</v>
      </c>
      <c r="AC36" s="19">
        <f t="shared" si="9"/>
        <v>0</v>
      </c>
      <c r="AD36" s="19">
        <f t="shared" si="10"/>
        <v>0</v>
      </c>
      <c r="AE36" s="7"/>
      <c r="AF36" s="19">
        <f t="shared" si="11"/>
        <v>5000</v>
      </c>
      <c r="AG36" s="19">
        <f t="shared" si="12"/>
        <v>0</v>
      </c>
      <c r="AH36" s="19">
        <f t="shared" si="13"/>
        <v>0</v>
      </c>
      <c r="AI36" s="7"/>
      <c r="AJ36" s="7"/>
      <c r="AK36" s="7"/>
      <c r="AL36" s="19">
        <f t="shared" si="14"/>
        <v>5000</v>
      </c>
      <c r="AM36" s="19">
        <f t="shared" si="15"/>
        <v>0</v>
      </c>
      <c r="AN36" s="19">
        <f t="shared" si="16"/>
        <v>0</v>
      </c>
      <c r="AO36" s="7"/>
    </row>
    <row r="37" spans="1:41" ht="31.5">
      <c r="A37" s="5" t="s">
        <v>15</v>
      </c>
      <c r="B37" s="8" t="s">
        <v>11</v>
      </c>
      <c r="C37" s="6" t="s">
        <v>41</v>
      </c>
      <c r="D37" s="7">
        <v>26931.2</v>
      </c>
      <c r="E37" s="7">
        <f t="shared" si="17"/>
        <v>-322.2000000000007</v>
      </c>
      <c r="F37" s="7">
        <v>26609</v>
      </c>
      <c r="G37" s="7">
        <v>28954</v>
      </c>
      <c r="H37" s="7">
        <f t="shared" si="18"/>
        <v>-564.7999999999993</v>
      </c>
      <c r="I37" s="7">
        <v>28389.2</v>
      </c>
      <c r="J37" s="7">
        <v>28389.2</v>
      </c>
      <c r="K37" s="7"/>
      <c r="L37" s="7"/>
      <c r="M37" s="7"/>
      <c r="N37" s="7">
        <f t="shared" si="0"/>
        <v>-322.2000000000007</v>
      </c>
      <c r="O37" s="7">
        <f t="shared" si="1"/>
        <v>26609</v>
      </c>
      <c r="P37" s="7">
        <f t="shared" si="2"/>
        <v>-564.7999999999993</v>
      </c>
      <c r="Q37" s="7">
        <f t="shared" si="3"/>
        <v>28389.2</v>
      </c>
      <c r="R37" s="7">
        <f t="shared" si="4"/>
        <v>28389.2</v>
      </c>
      <c r="S37" s="19"/>
      <c r="T37" s="19"/>
      <c r="U37" s="19"/>
      <c r="V37" s="19">
        <f t="shared" si="5"/>
        <v>26609</v>
      </c>
      <c r="W37" s="19">
        <f t="shared" si="6"/>
        <v>28389.2</v>
      </c>
      <c r="X37" s="19">
        <f t="shared" si="7"/>
        <v>28389.2</v>
      </c>
      <c r="Y37" s="7"/>
      <c r="Z37" s="7"/>
      <c r="AA37" s="7"/>
      <c r="AB37" s="19">
        <f t="shared" si="8"/>
        <v>26609</v>
      </c>
      <c r="AC37" s="19">
        <f t="shared" si="9"/>
        <v>28389.2</v>
      </c>
      <c r="AD37" s="19">
        <f t="shared" si="10"/>
        <v>28389.2</v>
      </c>
      <c r="AE37" s="7"/>
      <c r="AF37" s="19">
        <f t="shared" si="11"/>
        <v>26609</v>
      </c>
      <c r="AG37" s="19">
        <f t="shared" si="12"/>
        <v>28389.2</v>
      </c>
      <c r="AH37" s="19">
        <f t="shared" si="13"/>
        <v>28389.2</v>
      </c>
      <c r="AI37" s="7"/>
      <c r="AJ37" s="7"/>
      <c r="AK37" s="7"/>
      <c r="AL37" s="19">
        <f t="shared" si="14"/>
        <v>26609</v>
      </c>
      <c r="AM37" s="19">
        <f t="shared" si="15"/>
        <v>28389.2</v>
      </c>
      <c r="AN37" s="19">
        <f t="shared" si="16"/>
        <v>28389.2</v>
      </c>
      <c r="AO37" s="7"/>
    </row>
    <row r="38" spans="1:41" ht="15.75">
      <c r="A38" s="5" t="s">
        <v>15</v>
      </c>
      <c r="B38" s="8" t="s">
        <v>34</v>
      </c>
      <c r="C38" s="6" t="s">
        <v>42</v>
      </c>
      <c r="D38" s="7">
        <v>10097.7</v>
      </c>
      <c r="E38" s="7">
        <f t="shared" si="17"/>
        <v>-2041.7000000000007</v>
      </c>
      <c r="F38" s="7">
        <v>8056</v>
      </c>
      <c r="G38" s="7">
        <v>10079.55</v>
      </c>
      <c r="H38" s="7">
        <f t="shared" si="18"/>
        <v>-1543.75</v>
      </c>
      <c r="I38" s="7">
        <v>8535.8</v>
      </c>
      <c r="J38" s="7">
        <v>8554.8</v>
      </c>
      <c r="K38" s="7"/>
      <c r="L38" s="7"/>
      <c r="M38" s="7"/>
      <c r="N38" s="7">
        <f t="shared" si="0"/>
        <v>-2041.7000000000007</v>
      </c>
      <c r="O38" s="7">
        <f t="shared" si="1"/>
        <v>8056</v>
      </c>
      <c r="P38" s="7">
        <f t="shared" si="2"/>
        <v>-1543.75</v>
      </c>
      <c r="Q38" s="7">
        <f t="shared" si="3"/>
        <v>8535.8</v>
      </c>
      <c r="R38" s="7">
        <f t="shared" si="4"/>
        <v>8554.8</v>
      </c>
      <c r="S38" s="19"/>
      <c r="T38" s="19"/>
      <c r="U38" s="19"/>
      <c r="V38" s="19">
        <f t="shared" si="5"/>
        <v>8056</v>
      </c>
      <c r="W38" s="19">
        <f t="shared" si="6"/>
        <v>8535.8</v>
      </c>
      <c r="X38" s="19">
        <f t="shared" si="7"/>
        <v>8554.8</v>
      </c>
      <c r="Y38" s="7"/>
      <c r="Z38" s="7"/>
      <c r="AA38" s="7"/>
      <c r="AB38" s="19">
        <f t="shared" si="8"/>
        <v>8056</v>
      </c>
      <c r="AC38" s="19">
        <f t="shared" si="9"/>
        <v>8535.8</v>
      </c>
      <c r="AD38" s="19">
        <f t="shared" si="10"/>
        <v>8554.8</v>
      </c>
      <c r="AE38" s="7"/>
      <c r="AF38" s="19">
        <f t="shared" si="11"/>
        <v>8056</v>
      </c>
      <c r="AG38" s="19">
        <f t="shared" si="12"/>
        <v>8535.8</v>
      </c>
      <c r="AH38" s="19">
        <f t="shared" si="13"/>
        <v>8554.8</v>
      </c>
      <c r="AI38" s="7"/>
      <c r="AJ38" s="7"/>
      <c r="AK38" s="7"/>
      <c r="AL38" s="19">
        <f t="shared" si="14"/>
        <v>8056</v>
      </c>
      <c r="AM38" s="19">
        <f t="shared" si="15"/>
        <v>8535.8</v>
      </c>
      <c r="AN38" s="19">
        <f t="shared" si="16"/>
        <v>8554.8</v>
      </c>
      <c r="AO38" s="7"/>
    </row>
    <row r="39" spans="1:41" s="16" customFormat="1" ht="15.75">
      <c r="A39" s="13" t="s">
        <v>17</v>
      </c>
      <c r="B39" s="13" t="s">
        <v>7</v>
      </c>
      <c r="C39" s="24" t="s">
        <v>43</v>
      </c>
      <c r="D39" s="15">
        <f>SUM(D40:D43)</f>
        <v>7937607.6</v>
      </c>
      <c r="E39" s="15">
        <f t="shared" si="17"/>
        <v>-1476659.2999999989</v>
      </c>
      <c r="F39" s="15">
        <f>SUM(F40:F43)</f>
        <v>6460948.300000001</v>
      </c>
      <c r="G39" s="15">
        <f>SUM(G40:G43)</f>
        <v>8990342.9</v>
      </c>
      <c r="H39" s="15">
        <f t="shared" si="18"/>
        <v>-1448430.500000001</v>
      </c>
      <c r="I39" s="15">
        <f>SUM(I40:I43)</f>
        <v>7541912.399999999</v>
      </c>
      <c r="J39" s="15">
        <f>SUM(J40:J43)</f>
        <v>7567081.1</v>
      </c>
      <c r="K39" s="15">
        <f>SUM(K40:K43)</f>
        <v>-44291.6</v>
      </c>
      <c r="L39" s="15">
        <f>SUM(L40:L43)</f>
        <v>-48002.799999999996</v>
      </c>
      <c r="M39" s="15">
        <f>SUM(M40:M43)</f>
        <v>-48624.799999999996</v>
      </c>
      <c r="N39" s="15">
        <f t="shared" si="0"/>
        <v>-1520950.899999999</v>
      </c>
      <c r="O39" s="15">
        <f t="shared" si="1"/>
        <v>6416656.700000001</v>
      </c>
      <c r="P39" s="15">
        <f t="shared" si="2"/>
        <v>-1496433.300000001</v>
      </c>
      <c r="Q39" s="15">
        <f t="shared" si="3"/>
        <v>7493909.6</v>
      </c>
      <c r="R39" s="15">
        <f t="shared" si="4"/>
        <v>7518456.3</v>
      </c>
      <c r="S39" s="18">
        <f>SUM(S40:S43)</f>
        <v>-1039.1999999999998</v>
      </c>
      <c r="T39" s="18">
        <f>SUM(T40:T43)</f>
        <v>-49.90000000000009</v>
      </c>
      <c r="U39" s="18">
        <f>SUM(U40:U43)</f>
        <v>-8.5</v>
      </c>
      <c r="V39" s="18">
        <f t="shared" si="5"/>
        <v>6415617.500000001</v>
      </c>
      <c r="W39" s="18">
        <f t="shared" si="6"/>
        <v>7493859.699999999</v>
      </c>
      <c r="X39" s="18">
        <f t="shared" si="7"/>
        <v>7518447.8</v>
      </c>
      <c r="Y39" s="15">
        <f>SUM(Y40:Y43)</f>
        <v>0</v>
      </c>
      <c r="Z39" s="15">
        <f>SUM(Z40:Z43)</f>
        <v>0</v>
      </c>
      <c r="AA39" s="15">
        <f>SUM(AA40:AA43)</f>
        <v>0</v>
      </c>
      <c r="AB39" s="18">
        <f t="shared" si="8"/>
        <v>6415617.500000001</v>
      </c>
      <c r="AC39" s="18">
        <f t="shared" si="9"/>
        <v>7493859.699999999</v>
      </c>
      <c r="AD39" s="18">
        <f t="shared" si="10"/>
        <v>7518447.8</v>
      </c>
      <c r="AE39" s="15">
        <f>SUM(AE40:AE43)</f>
        <v>0</v>
      </c>
      <c r="AF39" s="18">
        <f t="shared" si="11"/>
        <v>6415617.500000001</v>
      </c>
      <c r="AG39" s="18">
        <f t="shared" si="12"/>
        <v>7493859.699999999</v>
      </c>
      <c r="AH39" s="18">
        <f t="shared" si="13"/>
        <v>7518447.8</v>
      </c>
      <c r="AI39" s="15">
        <f>SUM(AI40:AI43)</f>
        <v>0</v>
      </c>
      <c r="AJ39" s="15">
        <f>SUM(AJ40:AJ43)</f>
        <v>0</v>
      </c>
      <c r="AK39" s="15">
        <f>SUM(AK40:AK43)</f>
        <v>0</v>
      </c>
      <c r="AL39" s="18">
        <f t="shared" si="14"/>
        <v>6415617.500000001</v>
      </c>
      <c r="AM39" s="18">
        <f t="shared" si="15"/>
        <v>7493859.699999999</v>
      </c>
      <c r="AN39" s="18">
        <f t="shared" si="16"/>
        <v>7518447.8</v>
      </c>
      <c r="AO39" s="15">
        <f>SUM(AO40:AO43)</f>
        <v>0</v>
      </c>
    </row>
    <row r="40" spans="1:41" ht="15.75">
      <c r="A40" s="5" t="s">
        <v>17</v>
      </c>
      <c r="B40" s="8" t="s">
        <v>6</v>
      </c>
      <c r="C40" s="6" t="s">
        <v>44</v>
      </c>
      <c r="D40" s="7">
        <v>2935401.1</v>
      </c>
      <c r="E40" s="7">
        <f t="shared" si="17"/>
        <v>-709401.7000000002</v>
      </c>
      <c r="F40" s="7">
        <v>2225999.4</v>
      </c>
      <c r="G40" s="7">
        <v>3489473.6</v>
      </c>
      <c r="H40" s="7">
        <f t="shared" si="18"/>
        <v>-950523.2000000002</v>
      </c>
      <c r="I40" s="7">
        <v>2538950.4</v>
      </c>
      <c r="J40" s="7">
        <v>2551657.4</v>
      </c>
      <c r="K40" s="7">
        <f>-28683.9+5647.8-590-2486.1+256.8-35.3</f>
        <v>-25890.7</v>
      </c>
      <c r="L40" s="12">
        <f>-35097.4+6002.4-2486.1+256.8-33.7</f>
        <v>-31358</v>
      </c>
      <c r="M40" s="7">
        <f>-35646.8+6002.4-2486.1+256.8</f>
        <v>-31873.7</v>
      </c>
      <c r="N40" s="7">
        <f t="shared" si="0"/>
        <v>-735292.4000000001</v>
      </c>
      <c r="O40" s="7">
        <f t="shared" si="1"/>
        <v>2200108.6999999997</v>
      </c>
      <c r="P40" s="7">
        <f t="shared" si="2"/>
        <v>-981881.2000000002</v>
      </c>
      <c r="Q40" s="7">
        <f t="shared" si="3"/>
        <v>2507592.4</v>
      </c>
      <c r="R40" s="7">
        <f t="shared" si="4"/>
        <v>2519783.6999999997</v>
      </c>
      <c r="S40" s="19"/>
      <c r="T40" s="19"/>
      <c r="U40" s="19"/>
      <c r="V40" s="19">
        <f t="shared" si="5"/>
        <v>2200108.6999999997</v>
      </c>
      <c r="W40" s="19">
        <f t="shared" si="6"/>
        <v>2507592.4</v>
      </c>
      <c r="X40" s="19">
        <f t="shared" si="7"/>
        <v>2519783.6999999997</v>
      </c>
      <c r="Y40" s="7"/>
      <c r="Z40" s="7"/>
      <c r="AA40" s="7"/>
      <c r="AB40" s="19">
        <f t="shared" si="8"/>
        <v>2200108.6999999997</v>
      </c>
      <c r="AC40" s="19">
        <f t="shared" si="9"/>
        <v>2507592.4</v>
      </c>
      <c r="AD40" s="19">
        <f t="shared" si="10"/>
        <v>2519783.6999999997</v>
      </c>
      <c r="AE40" s="7"/>
      <c r="AF40" s="19">
        <f t="shared" si="11"/>
        <v>2200108.6999999997</v>
      </c>
      <c r="AG40" s="19">
        <f t="shared" si="12"/>
        <v>2507592.4</v>
      </c>
      <c r="AH40" s="19">
        <f t="shared" si="13"/>
        <v>2519783.6999999997</v>
      </c>
      <c r="AI40" s="7"/>
      <c r="AJ40" s="7"/>
      <c r="AK40" s="7"/>
      <c r="AL40" s="19">
        <f t="shared" si="14"/>
        <v>2200108.6999999997</v>
      </c>
      <c r="AM40" s="19">
        <f t="shared" si="15"/>
        <v>2507592.4</v>
      </c>
      <c r="AN40" s="19">
        <f t="shared" si="16"/>
        <v>2519783.6999999997</v>
      </c>
      <c r="AO40" s="7"/>
    </row>
    <row r="41" spans="1:41" ht="15.75">
      <c r="A41" s="5" t="s">
        <v>17</v>
      </c>
      <c r="B41" s="8" t="s">
        <v>9</v>
      </c>
      <c r="C41" s="6" t="s">
        <v>45</v>
      </c>
      <c r="D41" s="7">
        <v>4594507.5</v>
      </c>
      <c r="E41" s="7">
        <f t="shared" si="17"/>
        <v>-688491</v>
      </c>
      <c r="F41" s="7">
        <f>3906535.5-519</f>
        <v>3906016.5</v>
      </c>
      <c r="G41" s="7">
        <v>5091017.7</v>
      </c>
      <c r="H41" s="7">
        <f t="shared" si="18"/>
        <v>-362556</v>
      </c>
      <c r="I41" s="7">
        <v>4728461.7</v>
      </c>
      <c r="J41" s="7">
        <v>4731583.2</v>
      </c>
      <c r="K41" s="7">
        <f>3045.9-5166.6+556.8-6781+709.2+57-720.7-8135.7+1112.4-910+35847.1-35847.1-165.65-2105.05</f>
        <v>-18503.399999999998</v>
      </c>
      <c r="L41" s="7">
        <f>3045.9-4785.5+212.4-7143.9+709.2+57-762.8-8630.4+1112.4+37724.6-37724.6</f>
        <v>-16185.699999999997</v>
      </c>
      <c r="M41" s="7">
        <f>3045.9-4785.5+212.4-7143.9+709.2+57-762.8-8736.7+1112.4+39633.7-39633.7</f>
        <v>-16292</v>
      </c>
      <c r="N41" s="7">
        <f t="shared" si="0"/>
        <v>-706994.4</v>
      </c>
      <c r="O41" s="7">
        <f t="shared" si="1"/>
        <v>3887513.1</v>
      </c>
      <c r="P41" s="7">
        <f t="shared" si="2"/>
        <v>-378741.7</v>
      </c>
      <c r="Q41" s="7">
        <f t="shared" si="3"/>
        <v>4712276</v>
      </c>
      <c r="R41" s="7">
        <f t="shared" si="4"/>
        <v>4715291.2</v>
      </c>
      <c r="S41" s="19">
        <f>-120.2+1500.5+1774</f>
        <v>3154.3</v>
      </c>
      <c r="T41" s="19">
        <f>-173.9+1500.5</f>
        <v>1326.6</v>
      </c>
      <c r="U41" s="19">
        <f>-190.5+1500.5</f>
        <v>1310</v>
      </c>
      <c r="V41" s="19">
        <f t="shared" si="5"/>
        <v>3890667.4</v>
      </c>
      <c r="W41" s="19">
        <f t="shared" si="6"/>
        <v>4713602.6</v>
      </c>
      <c r="X41" s="19">
        <f t="shared" si="7"/>
        <v>4716601.2</v>
      </c>
      <c r="Y41" s="7"/>
      <c r="Z41" s="7"/>
      <c r="AA41" s="7"/>
      <c r="AB41" s="19">
        <f t="shared" si="8"/>
        <v>3890667.4</v>
      </c>
      <c r="AC41" s="19">
        <f t="shared" si="9"/>
        <v>4713602.6</v>
      </c>
      <c r="AD41" s="19">
        <f t="shared" si="10"/>
        <v>4716601.2</v>
      </c>
      <c r="AE41" s="7"/>
      <c r="AF41" s="19">
        <f t="shared" si="11"/>
        <v>3890667.4</v>
      </c>
      <c r="AG41" s="19">
        <f t="shared" si="12"/>
        <v>4713602.6</v>
      </c>
      <c r="AH41" s="19">
        <f t="shared" si="13"/>
        <v>4716601.2</v>
      </c>
      <c r="AI41" s="7">
        <f>2238.42+1915.82+11102.6</f>
        <v>15256.84</v>
      </c>
      <c r="AJ41" s="7">
        <f>3523.43+12255.1+12434.4</f>
        <v>28212.93</v>
      </c>
      <c r="AK41" s="7">
        <f>3692.12+13177.68+14393.8</f>
        <v>31263.6</v>
      </c>
      <c r="AL41" s="19">
        <f>AF41+AI41-2238.42</f>
        <v>3903685.82</v>
      </c>
      <c r="AM41" s="19">
        <f t="shared" si="15"/>
        <v>4741815.529999999</v>
      </c>
      <c r="AN41" s="19">
        <f t="shared" si="16"/>
        <v>4747864.8</v>
      </c>
      <c r="AO41" s="7"/>
    </row>
    <row r="42" spans="1:41" ht="15.75">
      <c r="A42" s="5" t="s">
        <v>17</v>
      </c>
      <c r="B42" s="8" t="s">
        <v>17</v>
      </c>
      <c r="C42" s="6" t="s">
        <v>46</v>
      </c>
      <c r="D42" s="7">
        <v>140602.6</v>
      </c>
      <c r="E42" s="7">
        <f t="shared" si="17"/>
        <v>-44968.20000000001</v>
      </c>
      <c r="F42" s="7">
        <v>95634.4</v>
      </c>
      <c r="G42" s="7">
        <v>152234.9</v>
      </c>
      <c r="H42" s="7">
        <f t="shared" si="18"/>
        <v>-57346.59999999999</v>
      </c>
      <c r="I42" s="7">
        <v>94888.3</v>
      </c>
      <c r="J42" s="7">
        <v>103874.9</v>
      </c>
      <c r="K42" s="7"/>
      <c r="L42" s="7"/>
      <c r="M42" s="7"/>
      <c r="N42" s="7">
        <f t="shared" si="0"/>
        <v>-44968.20000000001</v>
      </c>
      <c r="O42" s="7">
        <f t="shared" si="1"/>
        <v>95634.4</v>
      </c>
      <c r="P42" s="7">
        <f t="shared" si="2"/>
        <v>-57346.59999999999</v>
      </c>
      <c r="Q42" s="7">
        <f t="shared" si="3"/>
        <v>94888.3</v>
      </c>
      <c r="R42" s="7">
        <f t="shared" si="4"/>
        <v>103874.9</v>
      </c>
      <c r="S42" s="19"/>
      <c r="T42" s="19"/>
      <c r="U42" s="19"/>
      <c r="V42" s="19">
        <f t="shared" si="5"/>
        <v>95634.4</v>
      </c>
      <c r="W42" s="19">
        <f t="shared" si="6"/>
        <v>94888.3</v>
      </c>
      <c r="X42" s="19">
        <f t="shared" si="7"/>
        <v>103874.9</v>
      </c>
      <c r="Y42" s="7"/>
      <c r="Z42" s="7"/>
      <c r="AA42" s="7"/>
      <c r="AB42" s="19">
        <f t="shared" si="8"/>
        <v>95634.4</v>
      </c>
      <c r="AC42" s="19">
        <f t="shared" si="9"/>
        <v>94888.3</v>
      </c>
      <c r="AD42" s="19">
        <f t="shared" si="10"/>
        <v>103874.9</v>
      </c>
      <c r="AE42" s="7"/>
      <c r="AF42" s="19">
        <f t="shared" si="11"/>
        <v>95634.4</v>
      </c>
      <c r="AG42" s="19">
        <f t="shared" si="12"/>
        <v>94888.3</v>
      </c>
      <c r="AH42" s="19">
        <f t="shared" si="13"/>
        <v>103874.9</v>
      </c>
      <c r="AI42" s="7"/>
      <c r="AJ42" s="7"/>
      <c r="AK42" s="7"/>
      <c r="AL42" s="19">
        <f t="shared" si="14"/>
        <v>95634.4</v>
      </c>
      <c r="AM42" s="19">
        <f t="shared" si="15"/>
        <v>94888.3</v>
      </c>
      <c r="AN42" s="19">
        <f t="shared" si="16"/>
        <v>103874.9</v>
      </c>
      <c r="AO42" s="7"/>
    </row>
    <row r="43" spans="1:41" ht="15.75">
      <c r="A43" s="5" t="s">
        <v>17</v>
      </c>
      <c r="B43" s="8" t="s">
        <v>26</v>
      </c>
      <c r="C43" s="6" t="s">
        <v>47</v>
      </c>
      <c r="D43" s="7">
        <v>267096.4</v>
      </c>
      <c r="E43" s="7">
        <f t="shared" si="17"/>
        <v>-33798.40000000002</v>
      </c>
      <c r="F43" s="7">
        <v>233298</v>
      </c>
      <c r="G43" s="7">
        <v>257616.7</v>
      </c>
      <c r="H43" s="7">
        <f t="shared" si="18"/>
        <v>-78004.70000000001</v>
      </c>
      <c r="I43" s="7">
        <v>179612</v>
      </c>
      <c r="J43" s="7">
        <v>179965.6</v>
      </c>
      <c r="K43" s="7">
        <f>590-450.9+19.2-36+910-264+80+264-410-599.8</f>
        <v>102.5</v>
      </c>
      <c r="L43" s="7">
        <f>-478.3+19.2</f>
        <v>-459.1</v>
      </c>
      <c r="M43" s="7">
        <f>-478.3+19.2</f>
        <v>-459.1</v>
      </c>
      <c r="N43" s="7">
        <f t="shared" si="0"/>
        <v>-33695.90000000002</v>
      </c>
      <c r="O43" s="7">
        <f t="shared" si="1"/>
        <v>233400.5</v>
      </c>
      <c r="P43" s="7">
        <f t="shared" si="2"/>
        <v>-78463.80000000002</v>
      </c>
      <c r="Q43" s="7">
        <f t="shared" si="3"/>
        <v>179152.9</v>
      </c>
      <c r="R43" s="7">
        <f t="shared" si="4"/>
        <v>179506.5</v>
      </c>
      <c r="S43" s="19">
        <f>82766-3274.5-1000-82685</f>
        <v>-4193.5</v>
      </c>
      <c r="T43" s="19">
        <f>93151-1500.5-93027</f>
        <v>-1376.5</v>
      </c>
      <c r="U43" s="19">
        <f>103718-1500.5-103536</f>
        <v>-1318.5</v>
      </c>
      <c r="V43" s="19">
        <f t="shared" si="5"/>
        <v>229207</v>
      </c>
      <c r="W43" s="19">
        <f t="shared" si="6"/>
        <v>177776.4</v>
      </c>
      <c r="X43" s="19">
        <f t="shared" si="7"/>
        <v>178188</v>
      </c>
      <c r="Y43" s="7"/>
      <c r="Z43" s="7"/>
      <c r="AA43" s="7"/>
      <c r="AB43" s="19">
        <f t="shared" si="8"/>
        <v>229207</v>
      </c>
      <c r="AC43" s="19">
        <f t="shared" si="9"/>
        <v>177776.4</v>
      </c>
      <c r="AD43" s="19">
        <f t="shared" si="10"/>
        <v>178188</v>
      </c>
      <c r="AE43" s="7"/>
      <c r="AF43" s="19">
        <f t="shared" si="11"/>
        <v>229207</v>
      </c>
      <c r="AG43" s="19">
        <f t="shared" si="12"/>
        <v>177776.4</v>
      </c>
      <c r="AH43" s="19">
        <f t="shared" si="13"/>
        <v>178188</v>
      </c>
      <c r="AI43" s="7">
        <f>-2238.42-1551.34-364.48-11102.6</f>
        <v>-15256.84</v>
      </c>
      <c r="AJ43" s="7">
        <f>-3523.43-12255.1-12434.4</f>
        <v>-28212.93</v>
      </c>
      <c r="AK43" s="7">
        <f>-3692.12-13177.68-14393.8</f>
        <v>-31263.6</v>
      </c>
      <c r="AL43" s="19">
        <f>AF43+AI43+2238.42</f>
        <v>216188.58000000002</v>
      </c>
      <c r="AM43" s="19">
        <f t="shared" si="15"/>
        <v>149563.47</v>
      </c>
      <c r="AN43" s="19">
        <f t="shared" si="16"/>
        <v>146924.4</v>
      </c>
      <c r="AO43" s="7"/>
    </row>
    <row r="44" spans="1:41" s="16" customFormat="1" ht="15.75">
      <c r="A44" s="13" t="s">
        <v>31</v>
      </c>
      <c r="B44" s="13" t="s">
        <v>7</v>
      </c>
      <c r="C44" s="14" t="s">
        <v>48</v>
      </c>
      <c r="D44" s="15">
        <f>SUM(D45:D46)</f>
        <v>581622.8999999999</v>
      </c>
      <c r="E44" s="15">
        <f t="shared" si="17"/>
        <v>46448.90000000014</v>
      </c>
      <c r="F44" s="15">
        <f>SUM(F45:F46)</f>
        <v>628071.8</v>
      </c>
      <c r="G44" s="15">
        <f>SUM(G45:G46)</f>
        <v>585789.8999999999</v>
      </c>
      <c r="H44" s="15">
        <f t="shared" si="18"/>
        <v>-130990.79999999993</v>
      </c>
      <c r="I44" s="15">
        <f>SUM(I45:I46)</f>
        <v>454799.1</v>
      </c>
      <c r="J44" s="15">
        <f>SUM(J45:J46)</f>
        <v>432729.8</v>
      </c>
      <c r="K44" s="15">
        <f>SUM(K45:K46)</f>
        <v>-279.15</v>
      </c>
      <c r="L44" s="15">
        <f>SUM(L45:L46)</f>
        <v>0</v>
      </c>
      <c r="M44" s="15">
        <f>SUM(M45:M46)</f>
        <v>0</v>
      </c>
      <c r="N44" s="15">
        <f t="shared" si="0"/>
        <v>46169.75000000014</v>
      </c>
      <c r="O44" s="15">
        <f t="shared" si="1"/>
        <v>627792.65</v>
      </c>
      <c r="P44" s="15">
        <f t="shared" si="2"/>
        <v>-130990.79999999993</v>
      </c>
      <c r="Q44" s="15">
        <f t="shared" si="3"/>
        <v>454799.1</v>
      </c>
      <c r="R44" s="15">
        <f t="shared" si="4"/>
        <v>432729.8</v>
      </c>
      <c r="S44" s="18">
        <f>SUM(S45:S46)</f>
        <v>1264.4</v>
      </c>
      <c r="T44" s="18">
        <f>SUM(T45:T46)</f>
        <v>0</v>
      </c>
      <c r="U44" s="18">
        <f>SUM(U45:U46)</f>
        <v>0</v>
      </c>
      <c r="V44" s="18">
        <f t="shared" si="5"/>
        <v>629057.05</v>
      </c>
      <c r="W44" s="18">
        <f t="shared" si="6"/>
        <v>454799.1</v>
      </c>
      <c r="X44" s="18">
        <f t="shared" si="7"/>
        <v>432729.8</v>
      </c>
      <c r="Y44" s="15">
        <f>SUM(Y45:Y46)</f>
        <v>-1250</v>
      </c>
      <c r="Z44" s="15">
        <f>SUM(Z45:Z46)</f>
        <v>0</v>
      </c>
      <c r="AA44" s="15">
        <f>SUM(AA45:AA46)</f>
        <v>0</v>
      </c>
      <c r="AB44" s="18">
        <f t="shared" si="8"/>
        <v>627807.05</v>
      </c>
      <c r="AC44" s="18">
        <f t="shared" si="9"/>
        <v>454799.1</v>
      </c>
      <c r="AD44" s="18">
        <f t="shared" si="10"/>
        <v>432729.8</v>
      </c>
      <c r="AE44" s="15">
        <f>SUM(AE45:AE46)</f>
        <v>-1250</v>
      </c>
      <c r="AF44" s="18">
        <f t="shared" si="11"/>
        <v>626557.05</v>
      </c>
      <c r="AG44" s="18">
        <f t="shared" si="12"/>
        <v>454799.1</v>
      </c>
      <c r="AH44" s="18">
        <f t="shared" si="13"/>
        <v>432729.8</v>
      </c>
      <c r="AI44" s="15">
        <f>SUM(AI45:AI46)</f>
        <v>1119.2</v>
      </c>
      <c r="AJ44" s="15">
        <f>SUM(AJ45:AJ46)</f>
        <v>1118</v>
      </c>
      <c r="AK44" s="15">
        <f>SUM(AK45:AK46)</f>
        <v>1118</v>
      </c>
      <c r="AL44" s="18">
        <f t="shared" si="14"/>
        <v>627676.25</v>
      </c>
      <c r="AM44" s="18">
        <f t="shared" si="15"/>
        <v>455917.1</v>
      </c>
      <c r="AN44" s="18">
        <f t="shared" si="16"/>
        <v>433847.8</v>
      </c>
      <c r="AO44" s="15">
        <f>SUM(AO45:AO46)</f>
        <v>0</v>
      </c>
    </row>
    <row r="45" spans="1:41" ht="15.75">
      <c r="A45" s="5" t="s">
        <v>31</v>
      </c>
      <c r="B45" s="8" t="s">
        <v>6</v>
      </c>
      <c r="C45" s="6" t="s">
        <v>49</v>
      </c>
      <c r="D45" s="7">
        <v>565171.2</v>
      </c>
      <c r="E45" s="7">
        <f t="shared" si="17"/>
        <v>47990.60000000009</v>
      </c>
      <c r="F45" s="7">
        <f>617161.8-4000</f>
        <v>613161.8</v>
      </c>
      <c r="G45" s="7">
        <v>575621.7</v>
      </c>
      <c r="H45" s="7">
        <f t="shared" si="18"/>
        <v>-130608.09999999998</v>
      </c>
      <c r="I45" s="7">
        <v>445013.6</v>
      </c>
      <c r="J45" s="7">
        <v>423019.3</v>
      </c>
      <c r="K45" s="7">
        <f>-224.15</f>
        <v>-224.15</v>
      </c>
      <c r="L45" s="7"/>
      <c r="M45" s="7"/>
      <c r="N45" s="7">
        <f t="shared" si="0"/>
        <v>47766.45000000009</v>
      </c>
      <c r="O45" s="7">
        <f t="shared" si="1"/>
        <v>612937.65</v>
      </c>
      <c r="P45" s="7">
        <f t="shared" si="2"/>
        <v>-130608.09999999998</v>
      </c>
      <c r="Q45" s="7">
        <f t="shared" si="3"/>
        <v>445013.6</v>
      </c>
      <c r="R45" s="7">
        <f t="shared" si="4"/>
        <v>423019.3</v>
      </c>
      <c r="S45" s="19">
        <f>1264.4</f>
        <v>1264.4</v>
      </c>
      <c r="T45" s="19"/>
      <c r="U45" s="19"/>
      <c r="V45" s="19">
        <f t="shared" si="5"/>
        <v>614202.05</v>
      </c>
      <c r="W45" s="19">
        <f t="shared" si="6"/>
        <v>445013.6</v>
      </c>
      <c r="X45" s="19">
        <f t="shared" si="7"/>
        <v>423019.3</v>
      </c>
      <c r="Y45" s="7">
        <f>-1250</f>
        <v>-1250</v>
      </c>
      <c r="Z45" s="7"/>
      <c r="AA45" s="7"/>
      <c r="AB45" s="19">
        <f t="shared" si="8"/>
        <v>612952.05</v>
      </c>
      <c r="AC45" s="19">
        <f t="shared" si="9"/>
        <v>445013.6</v>
      </c>
      <c r="AD45" s="19">
        <f t="shared" si="10"/>
        <v>423019.3</v>
      </c>
      <c r="AE45" s="7">
        <f>-90000-35000-1250+90000+35000</f>
        <v>-1250</v>
      </c>
      <c r="AF45" s="19">
        <f t="shared" si="11"/>
        <v>611702.05</v>
      </c>
      <c r="AG45" s="19">
        <f t="shared" si="12"/>
        <v>445013.6</v>
      </c>
      <c r="AH45" s="19">
        <f t="shared" si="13"/>
        <v>423019.3</v>
      </c>
      <c r="AI45" s="7">
        <v>1119.2</v>
      </c>
      <c r="AJ45" s="7">
        <v>1118</v>
      </c>
      <c r="AK45" s="7">
        <v>1118</v>
      </c>
      <c r="AL45" s="19">
        <f t="shared" si="14"/>
        <v>612821.25</v>
      </c>
      <c r="AM45" s="19">
        <f t="shared" si="15"/>
        <v>446131.6</v>
      </c>
      <c r="AN45" s="19">
        <f t="shared" si="16"/>
        <v>424137.3</v>
      </c>
      <c r="AO45" s="7"/>
    </row>
    <row r="46" spans="1:41" ht="31.5">
      <c r="A46" s="5" t="s">
        <v>31</v>
      </c>
      <c r="B46" s="8" t="s">
        <v>15</v>
      </c>
      <c r="C46" s="6" t="s">
        <v>69</v>
      </c>
      <c r="D46" s="7">
        <v>16451.7</v>
      </c>
      <c r="E46" s="7">
        <f t="shared" si="17"/>
        <v>-1541.7000000000007</v>
      </c>
      <c r="F46" s="7">
        <v>14910</v>
      </c>
      <c r="G46" s="7">
        <v>10168.2</v>
      </c>
      <c r="H46" s="7">
        <f t="shared" si="18"/>
        <v>-382.7000000000007</v>
      </c>
      <c r="I46" s="7">
        <v>9785.5</v>
      </c>
      <c r="J46" s="7">
        <v>9710.5</v>
      </c>
      <c r="K46" s="7">
        <f>510+375-940</f>
        <v>-55</v>
      </c>
      <c r="L46" s="7"/>
      <c r="M46" s="7"/>
      <c r="N46" s="7">
        <f t="shared" si="0"/>
        <v>-1596.7000000000007</v>
      </c>
      <c r="O46" s="7">
        <f t="shared" si="1"/>
        <v>14855</v>
      </c>
      <c r="P46" s="7">
        <f t="shared" si="2"/>
        <v>-382.7000000000007</v>
      </c>
      <c r="Q46" s="7">
        <f t="shared" si="3"/>
        <v>9785.5</v>
      </c>
      <c r="R46" s="7">
        <f t="shared" si="4"/>
        <v>9710.5</v>
      </c>
      <c r="S46" s="19"/>
      <c r="T46" s="19"/>
      <c r="U46" s="19"/>
      <c r="V46" s="19">
        <f t="shared" si="5"/>
        <v>14855</v>
      </c>
      <c r="W46" s="19">
        <f t="shared" si="6"/>
        <v>9785.5</v>
      </c>
      <c r="X46" s="19">
        <f t="shared" si="7"/>
        <v>9710.5</v>
      </c>
      <c r="Y46" s="7"/>
      <c r="Z46" s="7"/>
      <c r="AA46" s="7"/>
      <c r="AB46" s="19">
        <f t="shared" si="8"/>
        <v>14855</v>
      </c>
      <c r="AC46" s="19">
        <f t="shared" si="9"/>
        <v>9785.5</v>
      </c>
      <c r="AD46" s="19">
        <f t="shared" si="10"/>
        <v>9710.5</v>
      </c>
      <c r="AE46" s="7"/>
      <c r="AF46" s="19">
        <f t="shared" si="11"/>
        <v>14855</v>
      </c>
      <c r="AG46" s="19">
        <f t="shared" si="12"/>
        <v>9785.5</v>
      </c>
      <c r="AH46" s="19">
        <f t="shared" si="13"/>
        <v>9710.5</v>
      </c>
      <c r="AI46" s="7"/>
      <c r="AJ46" s="7"/>
      <c r="AK46" s="7"/>
      <c r="AL46" s="19">
        <f t="shared" si="14"/>
        <v>14855</v>
      </c>
      <c r="AM46" s="19">
        <f t="shared" si="15"/>
        <v>9785.5</v>
      </c>
      <c r="AN46" s="19">
        <f t="shared" si="16"/>
        <v>9710.5</v>
      </c>
      <c r="AO46" s="7"/>
    </row>
    <row r="47" spans="1:41" s="16" customFormat="1" ht="15.75">
      <c r="A47" s="13" t="s">
        <v>26</v>
      </c>
      <c r="B47" s="13" t="s">
        <v>7</v>
      </c>
      <c r="C47" s="14" t="s">
        <v>50</v>
      </c>
      <c r="D47" s="15">
        <f>SUM(D48:D54)</f>
        <v>2940071</v>
      </c>
      <c r="E47" s="15">
        <f t="shared" si="17"/>
        <v>-1156660.5</v>
      </c>
      <c r="F47" s="15">
        <f>SUM(F48:F54)</f>
        <v>1783410.5</v>
      </c>
      <c r="G47" s="15">
        <f>SUM(G48:G54)</f>
        <v>3479751.6999999997</v>
      </c>
      <c r="H47" s="15">
        <f t="shared" si="18"/>
        <v>-993777.8999999994</v>
      </c>
      <c r="I47" s="15">
        <f>SUM(I48:I54)</f>
        <v>2485973.8000000003</v>
      </c>
      <c r="J47" s="15">
        <f>SUM(J48:J54)</f>
        <v>2456801.1000000006</v>
      </c>
      <c r="K47" s="15">
        <f>SUM(K48:K54)</f>
        <v>-1400.9</v>
      </c>
      <c r="L47" s="15">
        <f>SUM(L48:L54)</f>
        <v>0</v>
      </c>
      <c r="M47" s="15">
        <f>SUM(M48:M54)</f>
        <v>0</v>
      </c>
      <c r="N47" s="15">
        <f t="shared" si="0"/>
        <v>-1158061.4</v>
      </c>
      <c r="O47" s="15">
        <f t="shared" si="1"/>
        <v>1782009.6</v>
      </c>
      <c r="P47" s="15">
        <f t="shared" si="2"/>
        <v>-993777.8999999994</v>
      </c>
      <c r="Q47" s="15">
        <f t="shared" si="3"/>
        <v>2485973.8000000003</v>
      </c>
      <c r="R47" s="15">
        <f t="shared" si="4"/>
        <v>2456801.1000000006</v>
      </c>
      <c r="S47" s="18">
        <f>SUM(S48:S54)</f>
        <v>78000.5</v>
      </c>
      <c r="T47" s="18">
        <f>SUM(T48:T54)</f>
        <v>0</v>
      </c>
      <c r="U47" s="18">
        <f>SUM(U48:U54)</f>
        <v>0</v>
      </c>
      <c r="V47" s="18">
        <f t="shared" si="5"/>
        <v>1860010.1</v>
      </c>
      <c r="W47" s="18">
        <f t="shared" si="6"/>
        <v>2485973.8000000003</v>
      </c>
      <c r="X47" s="18">
        <f t="shared" si="7"/>
        <v>2456801.1000000006</v>
      </c>
      <c r="Y47" s="15">
        <f>SUM(Y48:Y54)</f>
        <v>0</v>
      </c>
      <c r="Z47" s="15">
        <f>SUM(Z48:Z54)</f>
        <v>0</v>
      </c>
      <c r="AA47" s="15">
        <f>SUM(AA48:AA54)</f>
        <v>0</v>
      </c>
      <c r="AB47" s="18">
        <f t="shared" si="8"/>
        <v>1860010.1</v>
      </c>
      <c r="AC47" s="18">
        <f t="shared" si="9"/>
        <v>2485973.8000000003</v>
      </c>
      <c r="AD47" s="18">
        <f t="shared" si="10"/>
        <v>2456801.1000000006</v>
      </c>
      <c r="AE47" s="15">
        <f>SUM(AE48:AE54)</f>
        <v>0</v>
      </c>
      <c r="AF47" s="18">
        <f t="shared" si="11"/>
        <v>1860010.1</v>
      </c>
      <c r="AG47" s="18">
        <f t="shared" si="12"/>
        <v>2485973.8000000003</v>
      </c>
      <c r="AH47" s="18">
        <f t="shared" si="13"/>
        <v>2456801.1000000006</v>
      </c>
      <c r="AI47" s="15">
        <f>SUM(AI48:AI54)</f>
        <v>0</v>
      </c>
      <c r="AJ47" s="15">
        <f>SUM(AJ48:AJ54)</f>
        <v>0</v>
      </c>
      <c r="AK47" s="15">
        <f>SUM(AK48:AK54)</f>
        <v>0</v>
      </c>
      <c r="AL47" s="18">
        <f t="shared" si="14"/>
        <v>1860010.1</v>
      </c>
      <c r="AM47" s="18">
        <f t="shared" si="15"/>
        <v>2485973.8000000003</v>
      </c>
      <c r="AN47" s="18">
        <f t="shared" si="16"/>
        <v>2456801.1000000006</v>
      </c>
      <c r="AO47" s="15">
        <f>SUM(AO48:AO54)</f>
        <v>0</v>
      </c>
    </row>
    <row r="48" spans="1:41" ht="15.75">
      <c r="A48" s="5" t="s">
        <v>26</v>
      </c>
      <c r="B48" s="8" t="s">
        <v>6</v>
      </c>
      <c r="C48" s="6" t="s">
        <v>51</v>
      </c>
      <c r="D48" s="7">
        <v>1505219.2</v>
      </c>
      <c r="E48" s="7">
        <f t="shared" si="17"/>
        <v>-613311.6</v>
      </c>
      <c r="F48" s="7">
        <v>891907.6</v>
      </c>
      <c r="G48" s="7">
        <v>1775750.8</v>
      </c>
      <c r="H48" s="7">
        <f t="shared" si="18"/>
        <v>-340679.69999999995</v>
      </c>
      <c r="I48" s="7">
        <v>1435071.1</v>
      </c>
      <c r="J48" s="7">
        <v>1371216.6</v>
      </c>
      <c r="K48" s="7">
        <f>-1555.9</f>
        <v>-1555.9</v>
      </c>
      <c r="L48" s="7"/>
      <c r="M48" s="7"/>
      <c r="N48" s="7">
        <f t="shared" si="0"/>
        <v>-614867.5</v>
      </c>
      <c r="O48" s="7">
        <f t="shared" si="1"/>
        <v>890351.7</v>
      </c>
      <c r="P48" s="7">
        <f t="shared" si="2"/>
        <v>-340679.69999999995</v>
      </c>
      <c r="Q48" s="7">
        <f t="shared" si="3"/>
        <v>1435071.1</v>
      </c>
      <c r="R48" s="7">
        <f t="shared" si="4"/>
        <v>1371216.6</v>
      </c>
      <c r="S48" s="19"/>
      <c r="T48" s="19"/>
      <c r="U48" s="19"/>
      <c r="V48" s="19">
        <f t="shared" si="5"/>
        <v>890351.7</v>
      </c>
      <c r="W48" s="19">
        <f t="shared" si="6"/>
        <v>1435071.1</v>
      </c>
      <c r="X48" s="19">
        <f t="shared" si="7"/>
        <v>1371216.6</v>
      </c>
      <c r="Y48" s="7">
        <f>-1490.39-26000+11250</f>
        <v>-16240.39</v>
      </c>
      <c r="Z48" s="7">
        <v>-1590.956</v>
      </c>
      <c r="AA48" s="7">
        <v>-1603.383</v>
      </c>
      <c r="AB48" s="19">
        <f t="shared" si="8"/>
        <v>874111.3099999999</v>
      </c>
      <c r="AC48" s="19">
        <f t="shared" si="9"/>
        <v>1433480.144</v>
      </c>
      <c r="AD48" s="19">
        <f t="shared" si="10"/>
        <v>1369613.2170000002</v>
      </c>
      <c r="AE48" s="7">
        <f>2155.8-2155.8</f>
        <v>0</v>
      </c>
      <c r="AF48" s="19">
        <f t="shared" si="11"/>
        <v>874111.3099999999</v>
      </c>
      <c r="AG48" s="19">
        <f t="shared" si="12"/>
        <v>1433480.144</v>
      </c>
      <c r="AH48" s="19">
        <f t="shared" si="13"/>
        <v>1369613.2170000002</v>
      </c>
      <c r="AI48" s="7"/>
      <c r="AJ48" s="7"/>
      <c r="AK48" s="7"/>
      <c r="AL48" s="19">
        <f t="shared" si="14"/>
        <v>874111.3099999999</v>
      </c>
      <c r="AM48" s="19">
        <f t="shared" si="15"/>
        <v>1433480.144</v>
      </c>
      <c r="AN48" s="19">
        <f t="shared" si="16"/>
        <v>1369613.2170000002</v>
      </c>
      <c r="AO48" s="7"/>
    </row>
    <row r="49" spans="1:41" ht="15.75">
      <c r="A49" s="5" t="s">
        <v>26</v>
      </c>
      <c r="B49" s="8" t="s">
        <v>9</v>
      </c>
      <c r="C49" s="6" t="s">
        <v>52</v>
      </c>
      <c r="D49" s="7">
        <v>679245</v>
      </c>
      <c r="E49" s="7">
        <f t="shared" si="17"/>
        <v>-461088.4</v>
      </c>
      <c r="F49" s="7">
        <v>218156.6</v>
      </c>
      <c r="G49" s="7">
        <v>886181.5</v>
      </c>
      <c r="H49" s="7">
        <f t="shared" si="18"/>
        <v>-548828.5</v>
      </c>
      <c r="I49" s="7">
        <v>337353</v>
      </c>
      <c r="J49" s="7">
        <v>323199.6</v>
      </c>
      <c r="K49" s="7"/>
      <c r="L49" s="7"/>
      <c r="M49" s="7"/>
      <c r="N49" s="7">
        <f t="shared" si="0"/>
        <v>-461088.4</v>
      </c>
      <c r="O49" s="7">
        <f t="shared" si="1"/>
        <v>218156.6</v>
      </c>
      <c r="P49" s="7">
        <f t="shared" si="2"/>
        <v>-548828.5</v>
      </c>
      <c r="Q49" s="7">
        <f t="shared" si="3"/>
        <v>337353</v>
      </c>
      <c r="R49" s="7">
        <f t="shared" si="4"/>
        <v>323199.6</v>
      </c>
      <c r="S49" s="19"/>
      <c r="T49" s="19"/>
      <c r="U49" s="19"/>
      <c r="V49" s="19">
        <f t="shared" si="5"/>
        <v>218156.6</v>
      </c>
      <c r="W49" s="19">
        <f t="shared" si="6"/>
        <v>337353</v>
      </c>
      <c r="X49" s="19">
        <f t="shared" si="7"/>
        <v>323199.6</v>
      </c>
      <c r="Y49" s="7">
        <f>1490.39+3750</f>
        <v>5240.39</v>
      </c>
      <c r="Z49" s="7">
        <v>1590.956</v>
      </c>
      <c r="AA49" s="7">
        <v>1603.383</v>
      </c>
      <c r="AB49" s="19">
        <f t="shared" si="8"/>
        <v>223396.99000000002</v>
      </c>
      <c r="AC49" s="19">
        <f t="shared" si="9"/>
        <v>338943.956</v>
      </c>
      <c r="AD49" s="19">
        <f t="shared" si="10"/>
        <v>324802.98299999995</v>
      </c>
      <c r="AE49" s="7">
        <f>-1500+1500</f>
        <v>0</v>
      </c>
      <c r="AF49" s="19">
        <f t="shared" si="11"/>
        <v>223396.99000000002</v>
      </c>
      <c r="AG49" s="19">
        <f t="shared" si="12"/>
        <v>338943.956</v>
      </c>
      <c r="AH49" s="19">
        <f t="shared" si="13"/>
        <v>324802.98299999995</v>
      </c>
      <c r="AI49" s="7"/>
      <c r="AJ49" s="7"/>
      <c r="AK49" s="7"/>
      <c r="AL49" s="19">
        <f t="shared" si="14"/>
        <v>223396.99000000002</v>
      </c>
      <c r="AM49" s="19">
        <f t="shared" si="15"/>
        <v>338943.956</v>
      </c>
      <c r="AN49" s="19">
        <f t="shared" si="16"/>
        <v>324802.98299999995</v>
      </c>
      <c r="AO49" s="7"/>
    </row>
    <row r="50" spans="1:41" ht="15.75">
      <c r="A50" s="5" t="s">
        <v>26</v>
      </c>
      <c r="B50" s="8" t="s">
        <v>13</v>
      </c>
      <c r="C50" s="6" t="s">
        <v>53</v>
      </c>
      <c r="D50" s="7">
        <v>508285.8</v>
      </c>
      <c r="E50" s="7">
        <f t="shared" si="17"/>
        <v>-59828.79999999999</v>
      </c>
      <c r="F50" s="7">
        <v>448457</v>
      </c>
      <c r="G50" s="7">
        <v>567896</v>
      </c>
      <c r="H50" s="7">
        <f t="shared" si="18"/>
        <v>-79283.29999999999</v>
      </c>
      <c r="I50" s="7">
        <v>488612.7</v>
      </c>
      <c r="J50" s="7">
        <v>527916.7</v>
      </c>
      <c r="K50" s="7"/>
      <c r="L50" s="7"/>
      <c r="M50" s="7"/>
      <c r="N50" s="7">
        <f t="shared" si="0"/>
        <v>-59828.79999999999</v>
      </c>
      <c r="O50" s="7">
        <f t="shared" si="1"/>
        <v>448457</v>
      </c>
      <c r="P50" s="7">
        <f t="shared" si="2"/>
        <v>-79283.29999999999</v>
      </c>
      <c r="Q50" s="7">
        <f t="shared" si="3"/>
        <v>488612.7</v>
      </c>
      <c r="R50" s="7">
        <f t="shared" si="4"/>
        <v>527916.7</v>
      </c>
      <c r="S50" s="19">
        <f>78000.5</f>
        <v>78000.5</v>
      </c>
      <c r="T50" s="19"/>
      <c r="U50" s="19"/>
      <c r="V50" s="19">
        <f t="shared" si="5"/>
        <v>526457.5</v>
      </c>
      <c r="W50" s="19">
        <f t="shared" si="6"/>
        <v>488612.7</v>
      </c>
      <c r="X50" s="19">
        <f t="shared" si="7"/>
        <v>527916.7</v>
      </c>
      <c r="Y50" s="7"/>
      <c r="Z50" s="7"/>
      <c r="AA50" s="7"/>
      <c r="AB50" s="19">
        <f t="shared" si="8"/>
        <v>526457.5</v>
      </c>
      <c r="AC50" s="19">
        <f t="shared" si="9"/>
        <v>488612.7</v>
      </c>
      <c r="AD50" s="19">
        <f t="shared" si="10"/>
        <v>527916.7</v>
      </c>
      <c r="AE50" s="7"/>
      <c r="AF50" s="19">
        <f t="shared" si="11"/>
        <v>526457.5</v>
      </c>
      <c r="AG50" s="19">
        <f t="shared" si="12"/>
        <v>488612.7</v>
      </c>
      <c r="AH50" s="19">
        <f t="shared" si="13"/>
        <v>527916.7</v>
      </c>
      <c r="AI50" s="7"/>
      <c r="AJ50" s="7"/>
      <c r="AK50" s="7"/>
      <c r="AL50" s="19">
        <f t="shared" si="14"/>
        <v>526457.5</v>
      </c>
      <c r="AM50" s="19">
        <f t="shared" si="15"/>
        <v>488612.7</v>
      </c>
      <c r="AN50" s="19">
        <f t="shared" si="16"/>
        <v>527916.7</v>
      </c>
      <c r="AO50" s="7"/>
    </row>
    <row r="51" spans="1:41" ht="15.75">
      <c r="A51" s="5" t="s">
        <v>26</v>
      </c>
      <c r="B51" s="8" t="s">
        <v>34</v>
      </c>
      <c r="C51" s="6" t="s">
        <v>54</v>
      </c>
      <c r="D51" s="7">
        <v>116189</v>
      </c>
      <c r="E51" s="7">
        <f t="shared" si="17"/>
        <v>-465</v>
      </c>
      <c r="F51" s="7">
        <v>115724</v>
      </c>
      <c r="G51" s="7">
        <v>138608.8</v>
      </c>
      <c r="H51" s="7">
        <f t="shared" si="18"/>
        <v>-25251.899999999994</v>
      </c>
      <c r="I51" s="7">
        <v>113356.9</v>
      </c>
      <c r="J51" s="7">
        <v>117519.4</v>
      </c>
      <c r="K51" s="7"/>
      <c r="L51" s="7"/>
      <c r="M51" s="7"/>
      <c r="N51" s="7">
        <f t="shared" si="0"/>
        <v>-465</v>
      </c>
      <c r="O51" s="7">
        <f t="shared" si="1"/>
        <v>115724</v>
      </c>
      <c r="P51" s="7">
        <f t="shared" si="2"/>
        <v>-25251.899999999994</v>
      </c>
      <c r="Q51" s="7">
        <f t="shared" si="3"/>
        <v>113356.9</v>
      </c>
      <c r="R51" s="7">
        <f t="shared" si="4"/>
        <v>117519.4</v>
      </c>
      <c r="S51" s="19"/>
      <c r="T51" s="19"/>
      <c r="U51" s="19"/>
      <c r="V51" s="19">
        <f t="shared" si="5"/>
        <v>115724</v>
      </c>
      <c r="W51" s="19">
        <f t="shared" si="6"/>
        <v>113356.9</v>
      </c>
      <c r="X51" s="19">
        <f t="shared" si="7"/>
        <v>117519.4</v>
      </c>
      <c r="Y51" s="7"/>
      <c r="Z51" s="7"/>
      <c r="AA51" s="7"/>
      <c r="AB51" s="19">
        <f t="shared" si="8"/>
        <v>115724</v>
      </c>
      <c r="AC51" s="19">
        <f t="shared" si="9"/>
        <v>113356.9</v>
      </c>
      <c r="AD51" s="19">
        <f t="shared" si="10"/>
        <v>117519.4</v>
      </c>
      <c r="AE51" s="7"/>
      <c r="AF51" s="19">
        <f t="shared" si="11"/>
        <v>115724</v>
      </c>
      <c r="AG51" s="19">
        <f t="shared" si="12"/>
        <v>113356.9</v>
      </c>
      <c r="AH51" s="19">
        <f t="shared" si="13"/>
        <v>117519.4</v>
      </c>
      <c r="AI51" s="7"/>
      <c r="AJ51" s="7"/>
      <c r="AK51" s="7"/>
      <c r="AL51" s="19">
        <f t="shared" si="14"/>
        <v>115724</v>
      </c>
      <c r="AM51" s="19">
        <f t="shared" si="15"/>
        <v>113356.9</v>
      </c>
      <c r="AN51" s="19">
        <f t="shared" si="16"/>
        <v>117519.4</v>
      </c>
      <c r="AO51" s="7"/>
    </row>
    <row r="52" spans="1:41" ht="31.5">
      <c r="A52" s="8" t="s">
        <v>26</v>
      </c>
      <c r="B52" s="8" t="s">
        <v>15</v>
      </c>
      <c r="C52" s="6" t="s">
        <v>55</v>
      </c>
      <c r="D52" s="7">
        <v>18089.8</v>
      </c>
      <c r="E52" s="7">
        <f t="shared" si="17"/>
        <v>-1648.3999999999978</v>
      </c>
      <c r="F52" s="7">
        <v>16441.4</v>
      </c>
      <c r="G52" s="7">
        <v>19744.7</v>
      </c>
      <c r="H52" s="7">
        <f t="shared" si="18"/>
        <v>-3182.7000000000007</v>
      </c>
      <c r="I52" s="7">
        <v>16562</v>
      </c>
      <c r="J52" s="7">
        <v>17017.7</v>
      </c>
      <c r="K52" s="7"/>
      <c r="L52" s="7"/>
      <c r="M52" s="7"/>
      <c r="N52" s="7">
        <f t="shared" si="0"/>
        <v>-1648.3999999999978</v>
      </c>
      <c r="O52" s="7">
        <f t="shared" si="1"/>
        <v>16441.4</v>
      </c>
      <c r="P52" s="7">
        <f t="shared" si="2"/>
        <v>-3182.7000000000007</v>
      </c>
      <c r="Q52" s="7">
        <f t="shared" si="3"/>
        <v>16562</v>
      </c>
      <c r="R52" s="7">
        <f t="shared" si="4"/>
        <v>17017.7</v>
      </c>
      <c r="S52" s="19"/>
      <c r="T52" s="19"/>
      <c r="U52" s="19"/>
      <c r="V52" s="19">
        <f t="shared" si="5"/>
        <v>16441.4</v>
      </c>
      <c r="W52" s="19">
        <f t="shared" si="6"/>
        <v>16562</v>
      </c>
      <c r="X52" s="19">
        <f t="shared" si="7"/>
        <v>17017.7</v>
      </c>
      <c r="Y52" s="7"/>
      <c r="Z52" s="7"/>
      <c r="AA52" s="7"/>
      <c r="AB52" s="19">
        <f t="shared" si="8"/>
        <v>16441.4</v>
      </c>
      <c r="AC52" s="19">
        <f t="shared" si="9"/>
        <v>16562</v>
      </c>
      <c r="AD52" s="19">
        <f t="shared" si="10"/>
        <v>17017.7</v>
      </c>
      <c r="AE52" s="7"/>
      <c r="AF52" s="19">
        <f t="shared" si="11"/>
        <v>16441.4</v>
      </c>
      <c r="AG52" s="19">
        <f t="shared" si="12"/>
        <v>16562</v>
      </c>
      <c r="AH52" s="19">
        <f t="shared" si="13"/>
        <v>17017.7</v>
      </c>
      <c r="AI52" s="7"/>
      <c r="AJ52" s="7"/>
      <c r="AK52" s="7"/>
      <c r="AL52" s="19">
        <f t="shared" si="14"/>
        <v>16441.4</v>
      </c>
      <c r="AM52" s="19">
        <f t="shared" si="15"/>
        <v>16562</v>
      </c>
      <c r="AN52" s="19">
        <f t="shared" si="16"/>
        <v>17017.7</v>
      </c>
      <c r="AO52" s="7"/>
    </row>
    <row r="53" spans="1:41" ht="15.75">
      <c r="A53" s="5" t="s">
        <v>26</v>
      </c>
      <c r="B53" s="8" t="s">
        <v>31</v>
      </c>
      <c r="C53" s="6" t="s">
        <v>56</v>
      </c>
      <c r="D53" s="7">
        <v>66025</v>
      </c>
      <c r="E53" s="7">
        <f t="shared" si="17"/>
        <v>-18220.4</v>
      </c>
      <c r="F53" s="7">
        <f>47285.6+519</f>
        <v>47804.6</v>
      </c>
      <c r="G53" s="7">
        <v>46226.3</v>
      </c>
      <c r="H53" s="7">
        <f t="shared" si="18"/>
        <v>6191.0999999999985</v>
      </c>
      <c r="I53" s="7">
        <v>52417.4</v>
      </c>
      <c r="J53" s="7">
        <v>56601.4</v>
      </c>
      <c r="K53" s="7"/>
      <c r="L53" s="7"/>
      <c r="M53" s="7"/>
      <c r="N53" s="7">
        <f t="shared" si="0"/>
        <v>-18220.4</v>
      </c>
      <c r="O53" s="7">
        <f t="shared" si="1"/>
        <v>47804.6</v>
      </c>
      <c r="P53" s="7">
        <f t="shared" si="2"/>
        <v>6191.0999999999985</v>
      </c>
      <c r="Q53" s="7">
        <f t="shared" si="3"/>
        <v>52417.4</v>
      </c>
      <c r="R53" s="7">
        <f t="shared" si="4"/>
        <v>56601.4</v>
      </c>
      <c r="S53" s="19"/>
      <c r="T53" s="19"/>
      <c r="U53" s="19"/>
      <c r="V53" s="19">
        <f t="shared" si="5"/>
        <v>47804.6</v>
      </c>
      <c r="W53" s="19">
        <f t="shared" si="6"/>
        <v>52417.4</v>
      </c>
      <c r="X53" s="19">
        <f t="shared" si="7"/>
        <v>56601.4</v>
      </c>
      <c r="Y53" s="7"/>
      <c r="Z53" s="7"/>
      <c r="AA53" s="7"/>
      <c r="AB53" s="19">
        <f t="shared" si="8"/>
        <v>47804.6</v>
      </c>
      <c r="AC53" s="19">
        <f t="shared" si="9"/>
        <v>52417.4</v>
      </c>
      <c r="AD53" s="19">
        <f t="shared" si="10"/>
        <v>56601.4</v>
      </c>
      <c r="AE53" s="7"/>
      <c r="AF53" s="19">
        <f t="shared" si="11"/>
        <v>47804.6</v>
      </c>
      <c r="AG53" s="19">
        <f t="shared" si="12"/>
        <v>52417.4</v>
      </c>
      <c r="AH53" s="19">
        <f t="shared" si="13"/>
        <v>56601.4</v>
      </c>
      <c r="AI53" s="7"/>
      <c r="AJ53" s="7"/>
      <c r="AK53" s="7"/>
      <c r="AL53" s="19">
        <f t="shared" si="14"/>
        <v>47804.6</v>
      </c>
      <c r="AM53" s="19">
        <f t="shared" si="15"/>
        <v>52417.4</v>
      </c>
      <c r="AN53" s="19">
        <f t="shared" si="16"/>
        <v>56601.4</v>
      </c>
      <c r="AO53" s="7"/>
    </row>
    <row r="54" spans="1:41" ht="31.5">
      <c r="A54" s="5" t="s">
        <v>26</v>
      </c>
      <c r="B54" s="8" t="s">
        <v>57</v>
      </c>
      <c r="C54" s="6" t="s">
        <v>58</v>
      </c>
      <c r="D54" s="7">
        <v>47017.2</v>
      </c>
      <c r="E54" s="7">
        <f t="shared" si="17"/>
        <v>-2097.899999999994</v>
      </c>
      <c r="F54" s="7">
        <v>44919.3</v>
      </c>
      <c r="G54" s="7">
        <v>45343.6</v>
      </c>
      <c r="H54" s="7">
        <f t="shared" si="18"/>
        <v>-2742.9000000000015</v>
      </c>
      <c r="I54" s="7">
        <v>42600.7</v>
      </c>
      <c r="J54" s="7">
        <v>43329.7</v>
      </c>
      <c r="K54" s="7">
        <f>40+75+40</f>
        <v>155</v>
      </c>
      <c r="L54" s="7"/>
      <c r="M54" s="7"/>
      <c r="N54" s="7">
        <f t="shared" si="0"/>
        <v>-1942.8999999999942</v>
      </c>
      <c r="O54" s="7">
        <f t="shared" si="1"/>
        <v>45074.3</v>
      </c>
      <c r="P54" s="7">
        <f t="shared" si="2"/>
        <v>-2742.9000000000015</v>
      </c>
      <c r="Q54" s="7">
        <f t="shared" si="3"/>
        <v>42600.7</v>
      </c>
      <c r="R54" s="7">
        <f t="shared" si="4"/>
        <v>43329.7</v>
      </c>
      <c r="S54" s="19"/>
      <c r="T54" s="19"/>
      <c r="U54" s="19"/>
      <c r="V54" s="19">
        <f t="shared" si="5"/>
        <v>45074.3</v>
      </c>
      <c r="W54" s="19">
        <f t="shared" si="6"/>
        <v>42600.7</v>
      </c>
      <c r="X54" s="19">
        <f t="shared" si="7"/>
        <v>43329.7</v>
      </c>
      <c r="Y54" s="7">
        <v>11000</v>
      </c>
      <c r="Z54" s="7"/>
      <c r="AA54" s="7"/>
      <c r="AB54" s="19">
        <f t="shared" si="8"/>
        <v>56074.3</v>
      </c>
      <c r="AC54" s="19">
        <f t="shared" si="9"/>
        <v>42600.7</v>
      </c>
      <c r="AD54" s="19">
        <f t="shared" si="10"/>
        <v>43329.7</v>
      </c>
      <c r="AE54" s="7"/>
      <c r="AF54" s="19">
        <f t="shared" si="11"/>
        <v>56074.3</v>
      </c>
      <c r="AG54" s="19">
        <f t="shared" si="12"/>
        <v>42600.7</v>
      </c>
      <c r="AH54" s="19">
        <f t="shared" si="13"/>
        <v>43329.7</v>
      </c>
      <c r="AI54" s="7"/>
      <c r="AJ54" s="7"/>
      <c r="AK54" s="7"/>
      <c r="AL54" s="19">
        <f t="shared" si="14"/>
        <v>56074.3</v>
      </c>
      <c r="AM54" s="19">
        <f t="shared" si="15"/>
        <v>42600.7</v>
      </c>
      <c r="AN54" s="19">
        <f t="shared" si="16"/>
        <v>43329.7</v>
      </c>
      <c r="AO54" s="7"/>
    </row>
    <row r="55" spans="1:41" s="16" customFormat="1" ht="15.75">
      <c r="A55" s="13" t="s">
        <v>57</v>
      </c>
      <c r="B55" s="13" t="s">
        <v>7</v>
      </c>
      <c r="C55" s="14" t="s">
        <v>59</v>
      </c>
      <c r="D55" s="15">
        <f>SUM(D56:D59)</f>
        <v>856121.1</v>
      </c>
      <c r="E55" s="15">
        <f t="shared" si="17"/>
        <v>-95381.09999999998</v>
      </c>
      <c r="F55" s="15">
        <f>SUM(F56:F59)</f>
        <v>760740</v>
      </c>
      <c r="G55" s="15">
        <f>SUM(G56:G59)</f>
        <v>944883.7000000001</v>
      </c>
      <c r="H55" s="15">
        <f t="shared" si="18"/>
        <v>-204532.80000000005</v>
      </c>
      <c r="I55" s="15">
        <f>SUM(I56:I59)</f>
        <v>740350.9</v>
      </c>
      <c r="J55" s="15">
        <f>SUM(J56:J59)</f>
        <v>751785.7000000001</v>
      </c>
      <c r="K55" s="15">
        <f>SUM(K56:K59)</f>
        <v>47552.450000000004</v>
      </c>
      <c r="L55" s="15">
        <f>SUM(L56:L59)</f>
        <v>50175.00000000001</v>
      </c>
      <c r="M55" s="15">
        <f>SUM(M56:M59)</f>
        <v>50815.700000000004</v>
      </c>
      <c r="N55" s="15">
        <f t="shared" si="0"/>
        <v>-47828.64999999997</v>
      </c>
      <c r="O55" s="15">
        <f t="shared" si="1"/>
        <v>808292.45</v>
      </c>
      <c r="P55" s="15">
        <f t="shared" si="2"/>
        <v>-154357.80000000005</v>
      </c>
      <c r="Q55" s="15">
        <f t="shared" si="3"/>
        <v>790525.9</v>
      </c>
      <c r="R55" s="15">
        <f t="shared" si="4"/>
        <v>802601.4</v>
      </c>
      <c r="S55" s="18">
        <f>SUM(S56:S59)</f>
        <v>110364.3</v>
      </c>
      <c r="T55" s="18">
        <f>SUM(T56:T59)</f>
        <v>84179</v>
      </c>
      <c r="U55" s="18">
        <f>SUM(U56:U59)</f>
        <v>94125</v>
      </c>
      <c r="V55" s="18">
        <f t="shared" si="5"/>
        <v>918656.75</v>
      </c>
      <c r="W55" s="18">
        <f t="shared" si="6"/>
        <v>874704.9</v>
      </c>
      <c r="X55" s="18">
        <f t="shared" si="7"/>
        <v>896726.4</v>
      </c>
      <c r="Y55" s="15">
        <f>SUM(Y56:Y59)</f>
        <v>0</v>
      </c>
      <c r="Z55" s="15">
        <f>SUM(Z56:Z59)</f>
        <v>0</v>
      </c>
      <c r="AA55" s="15">
        <f>SUM(AA56:AA59)</f>
        <v>0</v>
      </c>
      <c r="AB55" s="18">
        <f t="shared" si="8"/>
        <v>918656.75</v>
      </c>
      <c r="AC55" s="18">
        <f t="shared" si="9"/>
        <v>874704.9</v>
      </c>
      <c r="AD55" s="18">
        <f t="shared" si="10"/>
        <v>896726.4</v>
      </c>
      <c r="AE55" s="15">
        <f>SUM(AE56:AE59)</f>
        <v>0</v>
      </c>
      <c r="AF55" s="18">
        <f t="shared" si="11"/>
        <v>918656.75</v>
      </c>
      <c r="AG55" s="18">
        <f t="shared" si="12"/>
        <v>874704.9</v>
      </c>
      <c r="AH55" s="18">
        <f t="shared" si="13"/>
        <v>896726.4</v>
      </c>
      <c r="AI55" s="15">
        <f>SUM(AI56:AI59)</f>
        <v>-1119.2</v>
      </c>
      <c r="AJ55" s="15">
        <f>SUM(AJ56:AJ59)</f>
        <v>-1118</v>
      </c>
      <c r="AK55" s="15">
        <f>SUM(AK56:AK59)</f>
        <v>-1118</v>
      </c>
      <c r="AL55" s="18">
        <f t="shared" si="14"/>
        <v>917537.55</v>
      </c>
      <c r="AM55" s="18">
        <f t="shared" si="15"/>
        <v>873586.9</v>
      </c>
      <c r="AN55" s="18">
        <f t="shared" si="16"/>
        <v>895608.4</v>
      </c>
      <c r="AO55" s="15">
        <f>SUM(AO56:AO59)</f>
        <v>0</v>
      </c>
    </row>
    <row r="56" spans="1:41" ht="15.75">
      <c r="A56" s="5" t="s">
        <v>57</v>
      </c>
      <c r="B56" s="8" t="s">
        <v>6</v>
      </c>
      <c r="C56" s="6" t="s">
        <v>60</v>
      </c>
      <c r="D56" s="7">
        <v>29257</v>
      </c>
      <c r="E56" s="7">
        <f t="shared" si="17"/>
        <v>979.4000000000015</v>
      </c>
      <c r="F56" s="7">
        <v>30236.4</v>
      </c>
      <c r="G56" s="7">
        <v>31118.5</v>
      </c>
      <c r="H56" s="7">
        <f t="shared" si="18"/>
        <v>2897.5</v>
      </c>
      <c r="I56" s="7">
        <v>34016</v>
      </c>
      <c r="J56" s="7">
        <v>37859.8</v>
      </c>
      <c r="K56" s="7"/>
      <c r="L56" s="7"/>
      <c r="M56" s="7"/>
      <c r="N56" s="7">
        <f t="shared" si="0"/>
        <v>979.4000000000015</v>
      </c>
      <c r="O56" s="7">
        <f t="shared" si="1"/>
        <v>30236.4</v>
      </c>
      <c r="P56" s="7">
        <f t="shared" si="2"/>
        <v>2897.5</v>
      </c>
      <c r="Q56" s="7">
        <f t="shared" si="3"/>
        <v>34016</v>
      </c>
      <c r="R56" s="7">
        <f t="shared" si="4"/>
        <v>37859.8</v>
      </c>
      <c r="S56" s="19"/>
      <c r="T56" s="19"/>
      <c r="U56" s="19"/>
      <c r="V56" s="19">
        <f t="shared" si="5"/>
        <v>30236.4</v>
      </c>
      <c r="W56" s="19">
        <f t="shared" si="6"/>
        <v>34016</v>
      </c>
      <c r="X56" s="19">
        <f t="shared" si="7"/>
        <v>37859.8</v>
      </c>
      <c r="Y56" s="7"/>
      <c r="Z56" s="7"/>
      <c r="AA56" s="7"/>
      <c r="AB56" s="19">
        <f t="shared" si="8"/>
        <v>30236.4</v>
      </c>
      <c r="AC56" s="19">
        <f t="shared" si="9"/>
        <v>34016</v>
      </c>
      <c r="AD56" s="19">
        <f t="shared" si="10"/>
        <v>37859.8</v>
      </c>
      <c r="AE56" s="7"/>
      <c r="AF56" s="19">
        <f t="shared" si="11"/>
        <v>30236.4</v>
      </c>
      <c r="AG56" s="19">
        <f t="shared" si="12"/>
        <v>34016</v>
      </c>
      <c r="AH56" s="19">
        <f t="shared" si="13"/>
        <v>37859.8</v>
      </c>
      <c r="AI56" s="7"/>
      <c r="AJ56" s="7"/>
      <c r="AK56" s="7"/>
      <c r="AL56" s="19">
        <f t="shared" si="14"/>
        <v>30236.4</v>
      </c>
      <c r="AM56" s="19">
        <f t="shared" si="15"/>
        <v>34016</v>
      </c>
      <c r="AN56" s="19">
        <f t="shared" si="16"/>
        <v>37859.8</v>
      </c>
      <c r="AO56" s="7"/>
    </row>
    <row r="57" spans="1:41" ht="15.75">
      <c r="A57" s="5" t="s">
        <v>57</v>
      </c>
      <c r="B57" s="8" t="s">
        <v>11</v>
      </c>
      <c r="C57" s="6" t="s">
        <v>61</v>
      </c>
      <c r="D57" s="7">
        <v>519825.6</v>
      </c>
      <c r="E57" s="7">
        <f t="shared" si="17"/>
        <v>59552.09999999998</v>
      </c>
      <c r="F57" s="7">
        <v>579377.7</v>
      </c>
      <c r="G57" s="7">
        <v>580251.3</v>
      </c>
      <c r="H57" s="7">
        <f t="shared" si="18"/>
        <v>-25240</v>
      </c>
      <c r="I57" s="7">
        <v>555011.3</v>
      </c>
      <c r="J57" s="7">
        <v>556505.3</v>
      </c>
      <c r="K57" s="7"/>
      <c r="L57" s="7"/>
      <c r="M57" s="7"/>
      <c r="N57" s="7">
        <f t="shared" si="0"/>
        <v>59552.09999999998</v>
      </c>
      <c r="O57" s="7">
        <f t="shared" si="1"/>
        <v>579377.7</v>
      </c>
      <c r="P57" s="7">
        <f t="shared" si="2"/>
        <v>-25240</v>
      </c>
      <c r="Q57" s="7">
        <f t="shared" si="3"/>
        <v>555011.3</v>
      </c>
      <c r="R57" s="7">
        <f t="shared" si="4"/>
        <v>556505.3</v>
      </c>
      <c r="S57" s="19">
        <f>27820.8-8243</f>
        <v>19577.8</v>
      </c>
      <c r="T57" s="19">
        <f>-8848</f>
        <v>-8848</v>
      </c>
      <c r="U57" s="19">
        <f>-9411</f>
        <v>-9411</v>
      </c>
      <c r="V57" s="19">
        <f t="shared" si="5"/>
        <v>598955.5</v>
      </c>
      <c r="W57" s="19">
        <f t="shared" si="6"/>
        <v>546163.3</v>
      </c>
      <c r="X57" s="19">
        <f t="shared" si="7"/>
        <v>547094.3</v>
      </c>
      <c r="Y57" s="7"/>
      <c r="Z57" s="7"/>
      <c r="AA57" s="7"/>
      <c r="AB57" s="19">
        <f t="shared" si="8"/>
        <v>598955.5</v>
      </c>
      <c r="AC57" s="19">
        <f t="shared" si="9"/>
        <v>546163.3</v>
      </c>
      <c r="AD57" s="19">
        <f t="shared" si="10"/>
        <v>547094.3</v>
      </c>
      <c r="AE57" s="7"/>
      <c r="AF57" s="19">
        <f t="shared" si="11"/>
        <v>598955.5</v>
      </c>
      <c r="AG57" s="19">
        <f t="shared" si="12"/>
        <v>546163.3</v>
      </c>
      <c r="AH57" s="19">
        <f t="shared" si="13"/>
        <v>547094.3</v>
      </c>
      <c r="AI57" s="7"/>
      <c r="AJ57" s="7"/>
      <c r="AK57" s="7"/>
      <c r="AL57" s="19">
        <f t="shared" si="14"/>
        <v>598955.5</v>
      </c>
      <c r="AM57" s="19">
        <f t="shared" si="15"/>
        <v>546163.3</v>
      </c>
      <c r="AN57" s="19">
        <f t="shared" si="16"/>
        <v>547094.3</v>
      </c>
      <c r="AO57" s="7"/>
    </row>
    <row r="58" spans="1:41" ht="15.75">
      <c r="A58" s="5" t="s">
        <v>57</v>
      </c>
      <c r="B58" s="5" t="s">
        <v>13</v>
      </c>
      <c r="C58" s="6" t="s">
        <v>62</v>
      </c>
      <c r="D58" s="7">
        <v>187185</v>
      </c>
      <c r="E58" s="7">
        <f t="shared" si="17"/>
        <v>-158720</v>
      </c>
      <c r="F58" s="7">
        <v>28465</v>
      </c>
      <c r="G58" s="7">
        <v>204380</v>
      </c>
      <c r="H58" s="7">
        <f t="shared" si="18"/>
        <v>-176326</v>
      </c>
      <c r="I58" s="7">
        <v>28054</v>
      </c>
      <c r="J58" s="7">
        <v>27992</v>
      </c>
      <c r="K58" s="7"/>
      <c r="L58" s="7"/>
      <c r="M58" s="7"/>
      <c r="N58" s="7">
        <f t="shared" si="0"/>
        <v>-158720</v>
      </c>
      <c r="O58" s="7">
        <f t="shared" si="1"/>
        <v>28465</v>
      </c>
      <c r="P58" s="7">
        <f t="shared" si="2"/>
        <v>-176326</v>
      </c>
      <c r="Q58" s="7">
        <f t="shared" si="3"/>
        <v>28054</v>
      </c>
      <c r="R58" s="7">
        <f t="shared" si="4"/>
        <v>27992</v>
      </c>
      <c r="S58" s="19">
        <v>82685</v>
      </c>
      <c r="T58" s="19">
        <v>93027</v>
      </c>
      <c r="U58" s="19">
        <v>103536</v>
      </c>
      <c r="V58" s="19">
        <f t="shared" si="5"/>
        <v>111150</v>
      </c>
      <c r="W58" s="19">
        <f t="shared" si="6"/>
        <v>121081</v>
      </c>
      <c r="X58" s="19">
        <f t="shared" si="7"/>
        <v>131528</v>
      </c>
      <c r="Y58" s="7"/>
      <c r="Z58" s="7"/>
      <c r="AA58" s="7"/>
      <c r="AB58" s="19">
        <f t="shared" si="8"/>
        <v>111150</v>
      </c>
      <c r="AC58" s="19">
        <f t="shared" si="9"/>
        <v>121081</v>
      </c>
      <c r="AD58" s="19">
        <f t="shared" si="10"/>
        <v>131528</v>
      </c>
      <c r="AE58" s="7"/>
      <c r="AF58" s="19">
        <f t="shared" si="11"/>
        <v>111150</v>
      </c>
      <c r="AG58" s="19">
        <f t="shared" si="12"/>
        <v>121081</v>
      </c>
      <c r="AH58" s="19">
        <f t="shared" si="13"/>
        <v>131528</v>
      </c>
      <c r="AI58" s="7"/>
      <c r="AJ58" s="7"/>
      <c r="AK58" s="7"/>
      <c r="AL58" s="19">
        <f t="shared" si="14"/>
        <v>111150</v>
      </c>
      <c r="AM58" s="19">
        <f t="shared" si="15"/>
        <v>121081</v>
      </c>
      <c r="AN58" s="19">
        <f t="shared" si="16"/>
        <v>131528</v>
      </c>
      <c r="AO58" s="7"/>
    </row>
    <row r="59" spans="1:41" ht="15.75">
      <c r="A59" s="5" t="s">
        <v>57</v>
      </c>
      <c r="B59" s="8" t="s">
        <v>15</v>
      </c>
      <c r="C59" s="6" t="s">
        <v>63</v>
      </c>
      <c r="D59" s="7">
        <v>119853.5</v>
      </c>
      <c r="E59" s="7">
        <f t="shared" si="17"/>
        <v>2807.399999999994</v>
      </c>
      <c r="F59" s="7">
        <v>122660.9</v>
      </c>
      <c r="G59" s="7">
        <v>129133.9</v>
      </c>
      <c r="H59" s="7">
        <f t="shared" si="18"/>
        <v>-5864.299999999988</v>
      </c>
      <c r="I59" s="7">
        <v>123269.6</v>
      </c>
      <c r="J59" s="7">
        <v>129428.6</v>
      </c>
      <c r="K59" s="7">
        <f>4609.8+6071.8+23036.1+663.7+2229.3+431.7+7023.3+36+1555.9+165.65+224.15+2105.05-600</f>
        <v>47552.450000000004</v>
      </c>
      <c r="L59" s="12">
        <f>4573.1+6434.7+29095+705.8+2229.3+459.1+7518-840</f>
        <v>50175.00000000001</v>
      </c>
      <c r="M59" s="7">
        <f>4573.1+6434.7+29644.4+705.8+2229.3+459.1+7624.3-855</f>
        <v>50815.700000000004</v>
      </c>
      <c r="N59" s="7">
        <f t="shared" si="0"/>
        <v>50359.85</v>
      </c>
      <c r="O59" s="7">
        <f t="shared" si="1"/>
        <v>170213.35</v>
      </c>
      <c r="P59" s="7">
        <f t="shared" si="2"/>
        <v>44310.70000000002</v>
      </c>
      <c r="Q59" s="7">
        <f t="shared" si="3"/>
        <v>173444.6</v>
      </c>
      <c r="R59" s="7">
        <f t="shared" si="4"/>
        <v>180244.30000000002</v>
      </c>
      <c r="S59" s="19">
        <f>3111.8+331.3+448.3+4210.1</f>
        <v>8101.500000000001</v>
      </c>
      <c r="T59" s="19"/>
      <c r="U59" s="19"/>
      <c r="V59" s="19">
        <f t="shared" si="5"/>
        <v>178314.85</v>
      </c>
      <c r="W59" s="19">
        <f t="shared" si="6"/>
        <v>173444.6</v>
      </c>
      <c r="X59" s="19">
        <f t="shared" si="7"/>
        <v>180244.30000000002</v>
      </c>
      <c r="Y59" s="7"/>
      <c r="Z59" s="7"/>
      <c r="AA59" s="7"/>
      <c r="AB59" s="19">
        <f t="shared" si="8"/>
        <v>178314.85</v>
      </c>
      <c r="AC59" s="19">
        <f t="shared" si="9"/>
        <v>173444.6</v>
      </c>
      <c r="AD59" s="19">
        <f t="shared" si="10"/>
        <v>180244.30000000002</v>
      </c>
      <c r="AE59" s="7"/>
      <c r="AF59" s="19">
        <f t="shared" si="11"/>
        <v>178314.85</v>
      </c>
      <c r="AG59" s="19">
        <f t="shared" si="12"/>
        <v>173444.6</v>
      </c>
      <c r="AH59" s="19">
        <f t="shared" si="13"/>
        <v>180244.30000000002</v>
      </c>
      <c r="AI59" s="7">
        <f>-1119.2</f>
        <v>-1119.2</v>
      </c>
      <c r="AJ59" s="7">
        <v>-1118</v>
      </c>
      <c r="AK59" s="7">
        <v>-1118</v>
      </c>
      <c r="AL59" s="19">
        <f t="shared" si="14"/>
        <v>177195.65</v>
      </c>
      <c r="AM59" s="19">
        <f t="shared" si="15"/>
        <v>172326.6</v>
      </c>
      <c r="AN59" s="19">
        <f t="shared" si="16"/>
        <v>179126.30000000002</v>
      </c>
      <c r="AO59" s="7"/>
    </row>
    <row r="60" spans="1:41" s="16" customFormat="1" ht="15.75">
      <c r="A60" s="13" t="s">
        <v>19</v>
      </c>
      <c r="B60" s="13" t="s">
        <v>7</v>
      </c>
      <c r="C60" s="14" t="s">
        <v>64</v>
      </c>
      <c r="D60" s="15">
        <f>SUM(D61:D62)</f>
        <v>519203.2</v>
      </c>
      <c r="E60" s="15">
        <f t="shared" si="17"/>
        <v>-18236.900000000023</v>
      </c>
      <c r="F60" s="15">
        <f>SUM(F61:F62)</f>
        <v>500966.3</v>
      </c>
      <c r="G60" s="15">
        <f>SUM(G61:G62)</f>
        <v>569801.9</v>
      </c>
      <c r="H60" s="15">
        <f t="shared" si="18"/>
        <v>-26910.099999999977</v>
      </c>
      <c r="I60" s="15">
        <f>SUM(I61:I62)</f>
        <v>542891.8</v>
      </c>
      <c r="J60" s="15">
        <f>SUM(J61:J62)</f>
        <v>579471.2</v>
      </c>
      <c r="K60" s="15">
        <f>SUM(K61:K62)</f>
        <v>0</v>
      </c>
      <c r="L60" s="15">
        <f>SUM(L61:L62)</f>
        <v>0</v>
      </c>
      <c r="M60" s="15">
        <f>SUM(M61:M62)</f>
        <v>0</v>
      </c>
      <c r="N60" s="15">
        <f t="shared" si="0"/>
        <v>-18236.900000000023</v>
      </c>
      <c r="O60" s="15">
        <f t="shared" si="1"/>
        <v>500966.3</v>
      </c>
      <c r="P60" s="15">
        <f t="shared" si="2"/>
        <v>-26910.099999999977</v>
      </c>
      <c r="Q60" s="15">
        <f t="shared" si="3"/>
        <v>542891.8</v>
      </c>
      <c r="R60" s="15">
        <f t="shared" si="4"/>
        <v>579471.2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 t="shared" si="5"/>
        <v>500966.3</v>
      </c>
      <c r="W60" s="18">
        <f t="shared" si="6"/>
        <v>542891.8</v>
      </c>
      <c r="X60" s="18">
        <f t="shared" si="7"/>
        <v>579471.2</v>
      </c>
      <c r="Y60" s="15">
        <f>SUM(Y61:Y62)</f>
        <v>0</v>
      </c>
      <c r="Z60" s="15">
        <f>SUM(Z61:Z62)</f>
        <v>0</v>
      </c>
      <c r="AA60" s="15">
        <f>SUM(AA61:AA62)</f>
        <v>0</v>
      </c>
      <c r="AB60" s="18">
        <f t="shared" si="8"/>
        <v>500966.3</v>
      </c>
      <c r="AC60" s="18">
        <f t="shared" si="9"/>
        <v>542891.8</v>
      </c>
      <c r="AD60" s="18">
        <f t="shared" si="10"/>
        <v>579471.2</v>
      </c>
      <c r="AE60" s="15">
        <f>SUM(AE61:AE62)</f>
        <v>0</v>
      </c>
      <c r="AF60" s="18">
        <f t="shared" si="11"/>
        <v>500966.3</v>
      </c>
      <c r="AG60" s="18">
        <f t="shared" si="12"/>
        <v>542891.8</v>
      </c>
      <c r="AH60" s="18">
        <f t="shared" si="13"/>
        <v>579471.2</v>
      </c>
      <c r="AI60" s="15">
        <f>SUM(AI61:AI62)</f>
        <v>0</v>
      </c>
      <c r="AJ60" s="15">
        <f>SUM(AJ61:AJ62)</f>
        <v>0</v>
      </c>
      <c r="AK60" s="15">
        <f>SUM(AK61:AK62)</f>
        <v>0</v>
      </c>
      <c r="AL60" s="18">
        <f t="shared" si="14"/>
        <v>500966.3</v>
      </c>
      <c r="AM60" s="18">
        <f t="shared" si="15"/>
        <v>542891.8</v>
      </c>
      <c r="AN60" s="18">
        <f t="shared" si="16"/>
        <v>579471.2</v>
      </c>
      <c r="AO60" s="15">
        <f>SUM(AO61:AO62)</f>
        <v>0</v>
      </c>
    </row>
    <row r="61" spans="1:41" ht="31.5" hidden="1">
      <c r="A61" s="10">
        <v>11</v>
      </c>
      <c r="B61" s="8" t="s">
        <v>9</v>
      </c>
      <c r="C61" s="6" t="s">
        <v>65</v>
      </c>
      <c r="D61" s="7">
        <v>519203.2</v>
      </c>
      <c r="E61" s="7">
        <f t="shared" si="17"/>
        <v>-519203.2</v>
      </c>
      <c r="F61" s="7"/>
      <c r="G61" s="7">
        <v>569801.9</v>
      </c>
      <c r="H61" s="7">
        <f t="shared" si="18"/>
        <v>-569801.9</v>
      </c>
      <c r="I61" s="7"/>
      <c r="J61" s="7"/>
      <c r="K61" s="7"/>
      <c r="L61" s="7"/>
      <c r="M61" s="7"/>
      <c r="N61" s="7">
        <f t="shared" si="0"/>
        <v>-519203.2</v>
      </c>
      <c r="O61" s="7">
        <f t="shared" si="1"/>
        <v>0</v>
      </c>
      <c r="P61" s="7">
        <f t="shared" si="2"/>
        <v>-569801.9</v>
      </c>
      <c r="Q61" s="7">
        <f t="shared" si="3"/>
        <v>0</v>
      </c>
      <c r="R61" s="7">
        <f t="shared" si="4"/>
        <v>0</v>
      </c>
      <c r="S61" s="19"/>
      <c r="T61" s="19"/>
      <c r="U61" s="19"/>
      <c r="V61" s="19">
        <f t="shared" si="5"/>
        <v>0</v>
      </c>
      <c r="W61" s="19">
        <f t="shared" si="6"/>
        <v>0</v>
      </c>
      <c r="X61" s="19">
        <f t="shared" si="7"/>
        <v>0</v>
      </c>
      <c r="Y61" s="7"/>
      <c r="Z61" s="7"/>
      <c r="AA61" s="7"/>
      <c r="AB61" s="19">
        <f t="shared" si="8"/>
        <v>0</v>
      </c>
      <c r="AC61" s="19">
        <f t="shared" si="9"/>
        <v>0</v>
      </c>
      <c r="AD61" s="19">
        <f t="shared" si="10"/>
        <v>0</v>
      </c>
      <c r="AE61" s="7"/>
      <c r="AF61" s="19">
        <f t="shared" si="11"/>
        <v>0</v>
      </c>
      <c r="AG61" s="19">
        <f t="shared" si="12"/>
        <v>0</v>
      </c>
      <c r="AH61" s="19">
        <f t="shared" si="13"/>
        <v>0</v>
      </c>
      <c r="AI61" s="7"/>
      <c r="AJ61" s="7"/>
      <c r="AK61" s="7"/>
      <c r="AL61" s="19">
        <f t="shared" si="14"/>
        <v>0</v>
      </c>
      <c r="AM61" s="19">
        <f t="shared" si="15"/>
        <v>0</v>
      </c>
      <c r="AN61" s="19">
        <f t="shared" si="16"/>
        <v>0</v>
      </c>
      <c r="AO61" s="7"/>
    </row>
    <row r="62" spans="1:41" ht="15.75">
      <c r="A62" s="10">
        <v>11</v>
      </c>
      <c r="B62" s="8" t="s">
        <v>13</v>
      </c>
      <c r="C62" s="6" t="s">
        <v>73</v>
      </c>
      <c r="D62" s="7"/>
      <c r="E62" s="7">
        <f t="shared" si="17"/>
        <v>500966.3</v>
      </c>
      <c r="F62" s="7">
        <v>500966.3</v>
      </c>
      <c r="G62" s="7"/>
      <c r="H62" s="7">
        <f t="shared" si="18"/>
        <v>542891.8</v>
      </c>
      <c r="I62" s="7">
        <v>542891.8</v>
      </c>
      <c r="J62" s="7">
        <v>579471.2</v>
      </c>
      <c r="K62" s="7"/>
      <c r="L62" s="7"/>
      <c r="M62" s="7"/>
      <c r="N62" s="7">
        <f t="shared" si="0"/>
        <v>500966.3</v>
      </c>
      <c r="O62" s="7">
        <f t="shared" si="1"/>
        <v>500966.3</v>
      </c>
      <c r="P62" s="7">
        <f t="shared" si="2"/>
        <v>542891.8</v>
      </c>
      <c r="Q62" s="7">
        <f t="shared" si="3"/>
        <v>542891.8</v>
      </c>
      <c r="R62" s="7">
        <f t="shared" si="4"/>
        <v>579471.2</v>
      </c>
      <c r="S62" s="19"/>
      <c r="T62" s="19"/>
      <c r="U62" s="19"/>
      <c r="V62" s="19">
        <f t="shared" si="5"/>
        <v>500966.3</v>
      </c>
      <c r="W62" s="19">
        <f t="shared" si="6"/>
        <v>542891.8</v>
      </c>
      <c r="X62" s="19">
        <f t="shared" si="7"/>
        <v>579471.2</v>
      </c>
      <c r="Y62" s="7"/>
      <c r="Z62" s="7"/>
      <c r="AA62" s="7"/>
      <c r="AB62" s="19">
        <f t="shared" si="8"/>
        <v>500966.3</v>
      </c>
      <c r="AC62" s="19">
        <f t="shared" si="9"/>
        <v>542891.8</v>
      </c>
      <c r="AD62" s="19">
        <f t="shared" si="10"/>
        <v>579471.2</v>
      </c>
      <c r="AE62" s="7"/>
      <c r="AF62" s="19">
        <f t="shared" si="11"/>
        <v>500966.3</v>
      </c>
      <c r="AG62" s="19">
        <f t="shared" si="12"/>
        <v>542891.8</v>
      </c>
      <c r="AH62" s="19">
        <f t="shared" si="13"/>
        <v>579471.2</v>
      </c>
      <c r="AI62" s="7"/>
      <c r="AJ62" s="7"/>
      <c r="AK62" s="7"/>
      <c r="AL62" s="19">
        <f t="shared" si="14"/>
        <v>500966.3</v>
      </c>
      <c r="AM62" s="19">
        <f t="shared" si="15"/>
        <v>542891.8</v>
      </c>
      <c r="AN62" s="19">
        <f t="shared" si="16"/>
        <v>579471.2</v>
      </c>
      <c r="AO62" s="7"/>
    </row>
    <row r="63" spans="1:41" s="16" customFormat="1" ht="15.75" hidden="1">
      <c r="A63" s="25" t="s">
        <v>66</v>
      </c>
      <c r="B63" s="25" t="s">
        <v>66</v>
      </c>
      <c r="C63" s="14" t="s">
        <v>67</v>
      </c>
      <c r="D63" s="15">
        <v>632225.8</v>
      </c>
      <c r="E63" s="15">
        <f t="shared" si="17"/>
        <v>-632225.8</v>
      </c>
      <c r="F63" s="15"/>
      <c r="G63" s="15">
        <v>1365558.4</v>
      </c>
      <c r="H63" s="15">
        <f t="shared" si="18"/>
        <v>-766472.5999999999</v>
      </c>
      <c r="I63" s="15">
        <v>599085.8</v>
      </c>
      <c r="J63" s="15">
        <v>1122434.5</v>
      </c>
      <c r="K63" s="15"/>
      <c r="L63" s="15"/>
      <c r="M63" s="15"/>
      <c r="N63" s="15">
        <f t="shared" si="0"/>
        <v>-632225.8</v>
      </c>
      <c r="O63" s="15">
        <f t="shared" si="1"/>
        <v>0</v>
      </c>
      <c r="P63" s="15">
        <f t="shared" si="2"/>
        <v>-766472.5999999999</v>
      </c>
      <c r="Q63" s="15">
        <f t="shared" si="3"/>
        <v>599085.8</v>
      </c>
      <c r="R63" s="15">
        <f t="shared" si="4"/>
        <v>1122434.5</v>
      </c>
      <c r="S63" s="18"/>
      <c r="T63" s="18">
        <v>10618.2</v>
      </c>
      <c r="U63" s="18">
        <v>11973.2</v>
      </c>
      <c r="V63" s="18">
        <f t="shared" si="5"/>
        <v>0</v>
      </c>
      <c r="W63" s="18">
        <f t="shared" si="6"/>
        <v>609704</v>
      </c>
      <c r="X63" s="18">
        <f t="shared" si="7"/>
        <v>1134407.7</v>
      </c>
      <c r="Y63" s="15"/>
      <c r="Z63" s="15"/>
      <c r="AA63" s="15"/>
      <c r="AB63" s="18">
        <f t="shared" si="8"/>
        <v>0</v>
      </c>
      <c r="AC63" s="18">
        <f t="shared" si="9"/>
        <v>609704</v>
      </c>
      <c r="AD63" s="18">
        <f t="shared" si="10"/>
        <v>1134407.7</v>
      </c>
      <c r="AE63" s="15"/>
      <c r="AF63" s="19">
        <f t="shared" si="11"/>
        <v>0</v>
      </c>
      <c r="AG63" s="19">
        <f t="shared" si="12"/>
        <v>609704</v>
      </c>
      <c r="AH63" s="19">
        <f t="shared" si="13"/>
        <v>1134407.7</v>
      </c>
      <c r="AI63" s="15"/>
      <c r="AJ63" s="15">
        <v>-2050.9</v>
      </c>
      <c r="AK63" s="15">
        <v>-2050.9</v>
      </c>
      <c r="AL63" s="18">
        <f t="shared" si="14"/>
        <v>0</v>
      </c>
      <c r="AM63" s="18">
        <f t="shared" si="15"/>
        <v>607653.1</v>
      </c>
      <c r="AN63" s="18">
        <f t="shared" si="16"/>
        <v>1132356.8</v>
      </c>
      <c r="AO63" s="15"/>
    </row>
    <row r="64" spans="1:41" s="16" customFormat="1" ht="15.75">
      <c r="A64" s="26"/>
      <c r="B64" s="13"/>
      <c r="C64" s="14" t="s">
        <v>68</v>
      </c>
      <c r="D64" s="15">
        <f>D63+D60+D55+D47+D44+D39+D35+D30+D26+D22+D14</f>
        <v>20283051.1</v>
      </c>
      <c r="E64" s="15">
        <f t="shared" si="17"/>
        <v>-2667425.9000000022</v>
      </c>
      <c r="F64" s="15">
        <f>F63+F60+F55+F47+F44+F39+F35+F30+F26+F22+F14</f>
        <v>17615625.2</v>
      </c>
      <c r="G64" s="15">
        <f>G63+G60+G55+G47+G44+G39+G35+G30+G26+G22+G14</f>
        <v>21679115.800000004</v>
      </c>
      <c r="H64" s="15">
        <f t="shared" si="18"/>
        <v>-2152889.8000000045</v>
      </c>
      <c r="I64" s="15">
        <f>I63+I60+I55+I47+I44+I39+I35+I30+I26+I22+I14</f>
        <v>19526226</v>
      </c>
      <c r="J64" s="15">
        <f>J63+J60+J55+J47+J44+J39+J35+J30+J26+J22+J14</f>
        <v>20183884.7</v>
      </c>
      <c r="K64" s="15">
        <f>K63+K60+K55+K47+K44+K39+K35+K30+K26+K22+K14</f>
        <v>-91415.09999999999</v>
      </c>
      <c r="L64" s="15">
        <f>L63+L60+L55+L47+L44+L39+L35+L30+L26+L22+L14</f>
        <v>-20082.99999999999</v>
      </c>
      <c r="M64" s="15">
        <f>M63+M60+M55+M47+M44+M39+M35+M30+M26+M22+M14</f>
        <v>-5049.299999999992</v>
      </c>
      <c r="N64" s="15">
        <f>K64+E64</f>
        <v>-2758841.0000000023</v>
      </c>
      <c r="O64" s="15">
        <f>K64+F64</f>
        <v>17524210.099999998</v>
      </c>
      <c r="P64" s="15">
        <f>L64+H64</f>
        <v>-2172972.8000000045</v>
      </c>
      <c r="Q64" s="15">
        <f>L64+I64</f>
        <v>19506143</v>
      </c>
      <c r="R64" s="15">
        <f>M64+J64</f>
        <v>20178835.4</v>
      </c>
      <c r="S64" s="18">
        <f>S63+S60+S55+S47+S44+S39+S35+S30+S26+S22+S14</f>
        <v>361961.29999999993</v>
      </c>
      <c r="T64" s="18">
        <f>T63+T60+T55+T47+T44+T39+T35+T30+T26+T22+T14</f>
        <v>94747.3</v>
      </c>
      <c r="U64" s="18">
        <f>U63+U60+U55+U47+U44+U39+U35+U30+U26+U22+U14</f>
        <v>106089.7</v>
      </c>
      <c r="V64" s="18">
        <f>O64+S64</f>
        <v>17886171.4</v>
      </c>
      <c r="W64" s="18">
        <f>Q64+T64</f>
        <v>19600890.3</v>
      </c>
      <c r="X64" s="18">
        <f>R64+U64</f>
        <v>20284925.099999998</v>
      </c>
      <c r="Y64" s="15">
        <f>Y63+Y60+Y55+Y47+Y44+Y39+Y35+Y30+Y26+Y22+Y14</f>
        <v>0</v>
      </c>
      <c r="Z64" s="15">
        <f>Z63+Z60+Z55+Z47+Z44+Z39+Z35+Z30+Z26+Z22+Z14</f>
        <v>0</v>
      </c>
      <c r="AA64" s="15">
        <f>AA63+AA60+AA55+AA47+AA44+AA39+AA35+AA30+AA26+AA22+AA14</f>
        <v>0</v>
      </c>
      <c r="AB64" s="18">
        <f>V64+Y64</f>
        <v>17886171.4</v>
      </c>
      <c r="AC64" s="18">
        <f>W64+Z64</f>
        <v>19600890.3</v>
      </c>
      <c r="AD64" s="18">
        <f>X64+AA64</f>
        <v>20284925.099999998</v>
      </c>
      <c r="AE64" s="15">
        <f>AE63+AE60+AE55+AE47+AE44+AE39+AE35+AE30+AE26+AE22+AE14</f>
        <v>0</v>
      </c>
      <c r="AF64" s="18">
        <f>AE64+AB64</f>
        <v>17886171.4</v>
      </c>
      <c r="AG64" s="18">
        <f>AC64</f>
        <v>19600890.3</v>
      </c>
      <c r="AH64" s="18">
        <f>AD64</f>
        <v>20284925.099999998</v>
      </c>
      <c r="AI64" s="15">
        <f>AI63+AI60+AI55+AI47+AI44+AI39+AI35+AI30+AI26+AI22+AI14</f>
        <v>0</v>
      </c>
      <c r="AJ64" s="15">
        <f>AJ63+AJ60+AJ55+AJ47+AJ44+AJ39+AJ35+AJ30+AJ26+AJ22+AJ14</f>
        <v>-2050.9</v>
      </c>
      <c r="AK64" s="15">
        <f>AK63+AK60+AK55+AK47+AK44+AK39+AK35+AK30+AK26+AK22+AK14</f>
        <v>-2050.9</v>
      </c>
      <c r="AL64" s="18">
        <f>AF64+AI64</f>
        <v>17886171.4</v>
      </c>
      <c r="AM64" s="18">
        <f>AG64+AJ64</f>
        <v>19598839.400000002</v>
      </c>
      <c r="AN64" s="18">
        <f>AH64+AK64</f>
        <v>20282874.2</v>
      </c>
      <c r="AO64" s="15">
        <f>AO63+AO60+AO55+AO47+AO44+AO39+AO35+AO30+AO26+AO22+AO14</f>
        <v>0</v>
      </c>
    </row>
  </sheetData>
  <sheetProtection password="CF5C" sheet="1" objects="1" scenarios="1"/>
  <mergeCells count="42">
    <mergeCell ref="C6:AL6"/>
    <mergeCell ref="C7:AL7"/>
    <mergeCell ref="A9:AL9"/>
    <mergeCell ref="C1:AL1"/>
    <mergeCell ref="C2:AL2"/>
    <mergeCell ref="C3:AL3"/>
    <mergeCell ref="C5:AL5"/>
    <mergeCell ref="AG12:AG13"/>
    <mergeCell ref="AH12:AH13"/>
    <mergeCell ref="AM12:AM13"/>
    <mergeCell ref="AN12:AN13"/>
    <mergeCell ref="AI12:AI13"/>
    <mergeCell ref="AJ12:AJ13"/>
    <mergeCell ref="AK12:AK13"/>
    <mergeCell ref="AL12:AL13"/>
    <mergeCell ref="D12:D13"/>
    <mergeCell ref="E12:F12"/>
    <mergeCell ref="AO12:AO13"/>
    <mergeCell ref="A12:A13"/>
    <mergeCell ref="B12:B13"/>
    <mergeCell ref="C12:C13"/>
    <mergeCell ref="G12:G13"/>
    <mergeCell ref="H12:I12"/>
    <mergeCell ref="J12:J13"/>
    <mergeCell ref="K12:M12"/>
    <mergeCell ref="R12:R13"/>
    <mergeCell ref="N12:O13"/>
    <mergeCell ref="P12:Q13"/>
    <mergeCell ref="V12:V13"/>
    <mergeCell ref="W12:W13"/>
    <mergeCell ref="X12:X13"/>
    <mergeCell ref="S12:S13"/>
    <mergeCell ref="T12:T13"/>
    <mergeCell ref="U12:U13"/>
    <mergeCell ref="Y12:Y13"/>
    <mergeCell ref="Z12:Z13"/>
    <mergeCell ref="AA12:AA13"/>
    <mergeCell ref="AB12:AB13"/>
    <mergeCell ref="AE12:AE13"/>
    <mergeCell ref="AF12:AF13"/>
    <mergeCell ref="AC12:AC13"/>
    <mergeCell ref="AD12:AD13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8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2010-03-24T12:43:09Z</cp:lastPrinted>
  <dcterms:created xsi:type="dcterms:W3CDTF">2009-10-24T08:23:52Z</dcterms:created>
  <dcterms:modified xsi:type="dcterms:W3CDTF">2010-03-25T06:26:33Z</dcterms:modified>
  <cp:category/>
  <cp:version/>
  <cp:contentType/>
  <cp:contentStatus/>
</cp:coreProperties>
</file>