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9" sheetId="1" r:id="rId1"/>
  </sheets>
  <definedNames>
    <definedName name="_xlnm.Print_Titles" localSheetId="0">'Приложение № 9'!$12:$13</definedName>
  </definedNames>
  <calcPr fullCalcOnLoad="1"/>
</workbook>
</file>

<file path=xl/sharedStrings.xml><?xml version="1.0" encoding="utf-8"?>
<sst xmlns="http://schemas.openxmlformats.org/spreadsheetml/2006/main" count="238" uniqueCount="128">
  <si>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</si>
  <si>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</si>
  <si>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</si>
  <si>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</si>
  <si>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</si>
  <si>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</si>
  <si>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</si>
  <si>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</si>
  <si>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</si>
  <si>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</si>
  <si>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</si>
  <si>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</si>
  <si>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</si>
  <si>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</si>
  <si>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</si>
  <si>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</si>
  <si>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</si>
  <si>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</si>
  <si>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</si>
  <si>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</si>
  <si>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</si>
  <si>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</si>
  <si>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</si>
  <si>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</si>
  <si>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</si>
  <si>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</si>
  <si>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</si>
  <si>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</si>
  <si>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</si>
  <si>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</si>
  <si>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</si>
  <si>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</si>
  <si>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</si>
  <si>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</si>
  <si>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</si>
  <si>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</si>
  <si>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</si>
  <si>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</si>
  <si>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</si>
  <si>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</si>
  <si>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</si>
  <si>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</si>
  <si>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</si>
  <si>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</si>
  <si>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</si>
  <si>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</si>
  <si>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</si>
  <si>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</si>
  <si>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</si>
  <si>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</si>
  <si>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</si>
  <si>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</si>
  <si>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</si>
  <si>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</si>
  <si>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</si>
  <si>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</si>
  <si>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</si>
  <si>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</si>
  <si>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</si>
  <si>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</si>
  <si>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</si>
  <si>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</si>
  <si>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</si>
  <si>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</si>
  <si>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</si>
  <si>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</si>
  <si>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</si>
  <si>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</si>
  <si>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</si>
  <si>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</si>
  <si>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</si>
  <si>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</si>
  <si>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</si>
  <si>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</si>
  <si>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</si>
  <si>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</si>
  <si>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</si>
  <si>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</si>
  <si>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</si>
  <si>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</si>
  <si>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</si>
  <si>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</si>
  <si>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</si>
  <si>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</si>
  <si>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</si>
  <si>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</si>
  <si>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</si>
  <si>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</si>
  <si>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</si>
  <si>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</si>
  <si>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</si>
  <si>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</si>
  <si>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</si>
  <si>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</si>
  <si>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</si>
  <si>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</si>
  <si>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</si>
  <si>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</si>
  <si>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</si>
  <si>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</si>
  <si>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</si>
  <si>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</si>
  <si>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</si>
  <si>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</si>
  <si>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</si>
  <si>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</si>
  <si>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</si>
  <si>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</si>
  <si>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</si>
  <si>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</si>
  <si>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</si>
  <si>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2010 (изменения)</t>
  </si>
  <si>
    <t>2010 (апрель)</t>
  </si>
  <si>
    <t>2011 (апрель)</t>
  </si>
  <si>
    <t>2012 (апрель)</t>
  </si>
  <si>
    <t>2011 (изменения)</t>
  </si>
  <si>
    <t>Решение комитета</t>
  </si>
  <si>
    <t>2010 (РД № 86 от 29.06.2010)</t>
  </si>
  <si>
    <t>2011(РД № 86 от 29.06.2010)</t>
  </si>
  <si>
    <t>2012 (РД № 86 от 29.06.2010)</t>
  </si>
  <si>
    <t>2012 (изменения)</t>
  </si>
  <si>
    <t>Нераспределенный резерв</t>
  </si>
  <si>
    <t>Приложение № 9 к решению</t>
  </si>
  <si>
    <t>Функциональная структура расходов бюджета города Перми на 2010 год</t>
  </si>
  <si>
    <t>2010 год  (первонач. проект на август)</t>
  </si>
  <si>
    <t>Изменения по решению комитета</t>
  </si>
  <si>
    <t>2010 год  (проект)</t>
  </si>
  <si>
    <t>от 28.09.2010 № 144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</si>
</sst>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tabSelected="1" zoomScale="75" zoomScaleNormal="75" workbookViewId="0" topLeftCell="A1">
      <selection activeCell="CD13" sqref="CD13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40" width="16.625" style="17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7" width="16.625" style="1" hidden="1" customWidth="1"/>
    <col min="48" max="50" width="15.875" style="1" hidden="1" customWidth="1"/>
    <col min="51" max="52" width="15.25390625" style="1" hidden="1" customWidth="1"/>
    <col min="53" max="53" width="15.375" style="1" hidden="1" customWidth="1"/>
    <col min="54" max="55" width="15.625" style="1" hidden="1" customWidth="1"/>
    <col min="56" max="59" width="16.00390625" style="1" hidden="1" customWidth="1"/>
    <col min="60" max="60" width="16.125" style="1" hidden="1" customWidth="1"/>
    <col min="61" max="63" width="16.00390625" style="1" hidden="1" customWidth="1"/>
    <col min="64" max="64" width="12.25390625" style="1" hidden="1" customWidth="1"/>
    <col min="65" max="65" width="16.00390625" style="1" hidden="1" customWidth="1"/>
    <col min="66" max="66" width="14.00390625" style="1" hidden="1" customWidth="1"/>
    <col min="67" max="67" width="12.25390625" style="1" hidden="1" customWidth="1"/>
    <col min="68" max="68" width="16.125" style="1" hidden="1" customWidth="1"/>
    <col min="69" max="71" width="16.00390625" style="1" hidden="1" customWidth="1"/>
    <col min="72" max="72" width="13.875" style="1" hidden="1" customWidth="1"/>
    <col min="73" max="73" width="14.875" style="1" hidden="1" customWidth="1"/>
    <col min="74" max="74" width="11.25390625" style="1" hidden="1" customWidth="1"/>
    <col min="75" max="75" width="11.00390625" style="1" hidden="1" customWidth="1"/>
    <col min="76" max="76" width="13.125" style="1" hidden="1" customWidth="1"/>
    <col min="77" max="77" width="17.25390625" style="1" customWidth="1"/>
    <col min="78" max="79" width="17.25390625" style="1" hidden="1" customWidth="1"/>
    <col min="80" max="80" width="12.25390625" style="1" hidden="1" customWidth="1"/>
    <col min="81" max="16384" width="9.125" style="1" customWidth="1"/>
  </cols>
  <sheetData>
    <row r="1" spans="3:79" ht="15.75">
      <c r="C1" s="29" t="s">
        <v>122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11"/>
      <c r="CA1" s="11"/>
    </row>
    <row r="2" spans="3:79" ht="15.75"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11"/>
      <c r="CA2" s="11"/>
    </row>
    <row r="3" spans="3:79" ht="15.75">
      <c r="C3" s="29" t="s">
        <v>127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11"/>
      <c r="CA3" s="11"/>
    </row>
    <row r="4" spans="4:79" ht="15.7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Y4" s="27"/>
      <c r="Z4" s="27"/>
      <c r="AA4" s="27"/>
      <c r="AE4" s="27"/>
      <c r="AI4" s="27"/>
      <c r="AJ4" s="27"/>
      <c r="AK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U4" s="3"/>
      <c r="BY4" s="3"/>
      <c r="BZ4" s="3"/>
      <c r="CA4" s="3"/>
    </row>
    <row r="5" spans="3:79" ht="15.75">
      <c r="C5" s="29" t="s">
        <v>122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11"/>
      <c r="CA5" s="11"/>
    </row>
    <row r="6" spans="3:79" ht="15.75">
      <c r="C6" s="29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11"/>
      <c r="CA6" s="11"/>
    </row>
    <row r="7" spans="3:79" ht="15.75">
      <c r="C7" s="29" t="s">
        <v>96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11"/>
      <c r="CA7" s="11"/>
    </row>
    <row r="8" spans="4:5" ht="15.75">
      <c r="D8" s="4"/>
      <c r="E8" s="4" t="s">
        <v>0</v>
      </c>
    </row>
    <row r="9" spans="1:80" ht="15.75" customHeight="1">
      <c r="A9" s="30" t="s">
        <v>123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21"/>
      <c r="CA9" s="21"/>
      <c r="CB9" s="21"/>
    </row>
    <row r="10" spans="1:80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4:79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/>
      <c r="AM11" s="11"/>
      <c r="AN11" s="11"/>
      <c r="BQ11" s="11"/>
      <c r="BU11" s="11" t="s">
        <v>76</v>
      </c>
      <c r="BY11" s="11" t="s">
        <v>76</v>
      </c>
      <c r="BZ11" s="11"/>
      <c r="CA11" s="11"/>
    </row>
    <row r="12" spans="1:80" ht="15.75" customHeight="1">
      <c r="A12" s="34" t="s">
        <v>1</v>
      </c>
      <c r="B12" s="34" t="s">
        <v>2</v>
      </c>
      <c r="C12" s="33" t="s">
        <v>3</v>
      </c>
      <c r="D12" s="33" t="s">
        <v>70</v>
      </c>
      <c r="E12" s="31" t="s">
        <v>79</v>
      </c>
      <c r="F12" s="32"/>
      <c r="G12" s="33" t="s">
        <v>71</v>
      </c>
      <c r="H12" s="31" t="s">
        <v>82</v>
      </c>
      <c r="I12" s="32"/>
      <c r="J12" s="35" t="s">
        <v>81</v>
      </c>
      <c r="K12" s="37" t="s">
        <v>83</v>
      </c>
      <c r="L12" s="38"/>
      <c r="M12" s="39"/>
      <c r="N12" s="40" t="s">
        <v>84</v>
      </c>
      <c r="O12" s="41"/>
      <c r="P12" s="40" t="s">
        <v>80</v>
      </c>
      <c r="Q12" s="41"/>
      <c r="R12" s="35" t="s">
        <v>85</v>
      </c>
      <c r="S12" s="35" t="s">
        <v>86</v>
      </c>
      <c r="T12" s="35" t="s">
        <v>87</v>
      </c>
      <c r="U12" s="35" t="s">
        <v>88</v>
      </c>
      <c r="V12" s="35" t="s">
        <v>89</v>
      </c>
      <c r="W12" s="35" t="s">
        <v>90</v>
      </c>
      <c r="X12" s="35" t="s">
        <v>91</v>
      </c>
      <c r="Y12" s="44" t="s">
        <v>92</v>
      </c>
      <c r="Z12" s="44" t="s">
        <v>93</v>
      </c>
      <c r="AA12" s="44" t="s">
        <v>94</v>
      </c>
      <c r="AB12" s="45">
        <v>2010</v>
      </c>
      <c r="AC12" s="45">
        <v>2011</v>
      </c>
      <c r="AD12" s="45">
        <v>2012</v>
      </c>
      <c r="AE12" s="44" t="s">
        <v>97</v>
      </c>
      <c r="AF12" s="45" t="s">
        <v>98</v>
      </c>
      <c r="AG12" s="45" t="s">
        <v>102</v>
      </c>
      <c r="AH12" s="45" t="s">
        <v>103</v>
      </c>
      <c r="AI12" s="44" t="s">
        <v>92</v>
      </c>
      <c r="AJ12" s="44" t="s">
        <v>93</v>
      </c>
      <c r="AK12" s="44" t="s">
        <v>94</v>
      </c>
      <c r="AL12" s="45" t="s">
        <v>99</v>
      </c>
      <c r="AM12" s="45" t="s">
        <v>100</v>
      </c>
      <c r="AN12" s="45" t="s">
        <v>101</v>
      </c>
      <c r="AO12" s="45" t="s">
        <v>104</v>
      </c>
      <c r="AP12" s="45" t="s">
        <v>105</v>
      </c>
      <c r="AQ12" s="45" t="s">
        <v>106</v>
      </c>
      <c r="AR12" s="45" t="s">
        <v>107</v>
      </c>
      <c r="AS12" s="45" t="s">
        <v>108</v>
      </c>
      <c r="AT12" s="45" t="s">
        <v>109</v>
      </c>
      <c r="AU12" s="44" t="s">
        <v>92</v>
      </c>
      <c r="AV12" s="44" t="s">
        <v>93</v>
      </c>
      <c r="AW12" s="44" t="s">
        <v>94</v>
      </c>
      <c r="AX12" s="45" t="s">
        <v>99</v>
      </c>
      <c r="AY12" s="45" t="s">
        <v>100</v>
      </c>
      <c r="AZ12" s="45" t="s">
        <v>101</v>
      </c>
      <c r="BA12" s="33" t="s">
        <v>110</v>
      </c>
      <c r="BB12" s="33"/>
      <c r="BC12" s="33"/>
      <c r="BD12" s="45" t="s">
        <v>112</v>
      </c>
      <c r="BE12" s="45" t="s">
        <v>113</v>
      </c>
      <c r="BF12" s="45" t="s">
        <v>114</v>
      </c>
      <c r="BG12" s="45" t="s">
        <v>111</v>
      </c>
      <c r="BH12" s="45" t="s">
        <v>115</v>
      </c>
      <c r="BI12" s="45" t="s">
        <v>99</v>
      </c>
      <c r="BJ12" s="45" t="s">
        <v>118</v>
      </c>
      <c r="BK12" s="45" t="s">
        <v>119</v>
      </c>
      <c r="BL12" s="44" t="s">
        <v>116</v>
      </c>
      <c r="BM12" s="45" t="s">
        <v>117</v>
      </c>
      <c r="BN12" s="44" t="s">
        <v>111</v>
      </c>
      <c r="BO12" s="44" t="s">
        <v>115</v>
      </c>
      <c r="BP12" s="44" t="s">
        <v>120</v>
      </c>
      <c r="BQ12" s="35" t="s">
        <v>124</v>
      </c>
      <c r="BR12" s="35" t="s">
        <v>100</v>
      </c>
      <c r="BS12" s="35" t="s">
        <v>101</v>
      </c>
      <c r="BT12" s="35" t="s">
        <v>125</v>
      </c>
      <c r="BU12" s="35" t="s">
        <v>126</v>
      </c>
      <c r="BV12" s="44" t="s">
        <v>111</v>
      </c>
      <c r="BW12" s="44" t="s">
        <v>115</v>
      </c>
      <c r="BX12" s="44" t="s">
        <v>120</v>
      </c>
      <c r="BY12" s="45" t="s">
        <v>74</v>
      </c>
      <c r="BZ12" s="35" t="s">
        <v>100</v>
      </c>
      <c r="CA12" s="35" t="s">
        <v>101</v>
      </c>
      <c r="CB12" s="44" t="s">
        <v>5</v>
      </c>
    </row>
    <row r="13" spans="1:80" ht="31.5" customHeight="1">
      <c r="A13" s="34"/>
      <c r="B13" s="34"/>
      <c r="C13" s="33"/>
      <c r="D13" s="33"/>
      <c r="E13" s="20" t="s">
        <v>4</v>
      </c>
      <c r="F13" s="20" t="s">
        <v>75</v>
      </c>
      <c r="G13" s="33"/>
      <c r="H13" s="20" t="s">
        <v>4</v>
      </c>
      <c r="I13" s="20" t="s">
        <v>75</v>
      </c>
      <c r="J13" s="36"/>
      <c r="K13" s="22" t="s">
        <v>74</v>
      </c>
      <c r="L13" s="22" t="s">
        <v>77</v>
      </c>
      <c r="M13" s="22" t="s">
        <v>78</v>
      </c>
      <c r="N13" s="42"/>
      <c r="O13" s="43"/>
      <c r="P13" s="42"/>
      <c r="Q13" s="43"/>
      <c r="R13" s="36"/>
      <c r="S13" s="36"/>
      <c r="T13" s="36"/>
      <c r="U13" s="36"/>
      <c r="V13" s="36"/>
      <c r="W13" s="36"/>
      <c r="X13" s="36"/>
      <c r="Y13" s="44"/>
      <c r="Z13" s="44"/>
      <c r="AA13" s="44"/>
      <c r="AB13" s="46"/>
      <c r="AC13" s="46"/>
      <c r="AD13" s="46"/>
      <c r="AE13" s="44"/>
      <c r="AF13" s="46"/>
      <c r="AG13" s="46"/>
      <c r="AH13" s="46"/>
      <c r="AI13" s="44"/>
      <c r="AJ13" s="44"/>
      <c r="AK13" s="44"/>
      <c r="AL13" s="46"/>
      <c r="AM13" s="46"/>
      <c r="AN13" s="46"/>
      <c r="AO13" s="46"/>
      <c r="AP13" s="46"/>
      <c r="AQ13" s="46"/>
      <c r="AR13" s="46"/>
      <c r="AS13" s="46"/>
      <c r="AT13" s="46"/>
      <c r="AU13" s="44"/>
      <c r="AV13" s="44"/>
      <c r="AW13" s="44"/>
      <c r="AX13" s="46"/>
      <c r="AY13" s="46"/>
      <c r="AZ13" s="46"/>
      <c r="BA13" s="28">
        <v>2010</v>
      </c>
      <c r="BB13" s="28">
        <v>2011</v>
      </c>
      <c r="BC13" s="28">
        <v>2012</v>
      </c>
      <c r="BD13" s="46"/>
      <c r="BE13" s="46"/>
      <c r="BF13" s="46"/>
      <c r="BG13" s="46"/>
      <c r="BH13" s="46"/>
      <c r="BI13" s="46"/>
      <c r="BJ13" s="46"/>
      <c r="BK13" s="46"/>
      <c r="BL13" s="44"/>
      <c r="BM13" s="46"/>
      <c r="BN13" s="44"/>
      <c r="BO13" s="44"/>
      <c r="BP13" s="44"/>
      <c r="BQ13" s="36"/>
      <c r="BR13" s="36"/>
      <c r="BS13" s="36"/>
      <c r="BT13" s="36"/>
      <c r="BU13" s="36"/>
      <c r="BV13" s="44"/>
      <c r="BW13" s="44"/>
      <c r="BX13" s="44"/>
      <c r="BY13" s="46"/>
      <c r="BZ13" s="36"/>
      <c r="CA13" s="36"/>
      <c r="CB13" s="44"/>
    </row>
    <row r="14" spans="1:80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R63">L14+I14</f>
        <v>1247583.1</v>
      </c>
      <c r="R14" s="15">
        <f t="shared" si="3"/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4" ref="V14:V63">O14+S14</f>
        <v>1200960.6</v>
      </c>
      <c r="W14" s="18">
        <f aca="true" t="shared" si="5" ref="W14:X63">Q14+T14</f>
        <v>1247583.1</v>
      </c>
      <c r="X14" s="18">
        <f t="shared" si="5"/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6" ref="AB14:AD63">V14+Y14</f>
        <v>1216143.7000000002</v>
      </c>
      <c r="AC14" s="18">
        <f t="shared" si="6"/>
        <v>1247583.1</v>
      </c>
      <c r="AD14" s="18">
        <f t="shared" si="6"/>
        <v>1247335.2000000002</v>
      </c>
      <c r="AE14" s="15">
        <f>SUM(AE15:AE21)</f>
        <v>1250</v>
      </c>
      <c r="AF14" s="18">
        <f aca="true" t="shared" si="7" ref="AF14:AF63">AE14+AB14</f>
        <v>1217393.7000000002</v>
      </c>
      <c r="AG14" s="18">
        <f aca="true" t="shared" si="8" ref="AG14:AH63">AC14</f>
        <v>1247583.1</v>
      </c>
      <c r="AH14" s="18">
        <f t="shared" si="8"/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9" ref="AL14:AN63">AF14+AI14</f>
        <v>1217393.7000000002</v>
      </c>
      <c r="AM14" s="18">
        <f t="shared" si="9"/>
        <v>1247583.1</v>
      </c>
      <c r="AN14" s="18">
        <f t="shared" si="9"/>
        <v>1247335.2000000002</v>
      </c>
      <c r="AO14" s="15">
        <f>SUM(AO15:AO21)</f>
        <v>0</v>
      </c>
      <c r="AP14" s="15">
        <f>SUM(AP15:AP21)</f>
        <v>0</v>
      </c>
      <c r="AQ14" s="15">
        <f>SUM(AQ15:AQ21)</f>
        <v>0</v>
      </c>
      <c r="AR14" s="15">
        <f aca="true" t="shared" si="10" ref="AR14:AT63">AL14+AO14</f>
        <v>1217393.7000000002</v>
      </c>
      <c r="AS14" s="15">
        <f t="shared" si="10"/>
        <v>1247583.1</v>
      </c>
      <c r="AT14" s="15">
        <f t="shared" si="10"/>
        <v>1247335.2000000002</v>
      </c>
      <c r="AU14" s="15">
        <f>SUM(AU15:AU21)</f>
        <v>117708.73599999998</v>
      </c>
      <c r="AV14" s="15">
        <f>SUM(AV15:AV21)</f>
        <v>0</v>
      </c>
      <c r="AW14" s="15">
        <f>SUM(AW15:AW21)</f>
        <v>0</v>
      </c>
      <c r="AX14" s="15">
        <f aca="true" t="shared" si="11" ref="AX14:AZ63">AR14+AU14</f>
        <v>1335102.4360000002</v>
      </c>
      <c r="AY14" s="15">
        <f t="shared" si="11"/>
        <v>1247583.1</v>
      </c>
      <c r="AZ14" s="15">
        <f t="shared" si="11"/>
        <v>1247335.2000000002</v>
      </c>
      <c r="BA14" s="15">
        <f>SUM(BA15:BA21)</f>
        <v>0</v>
      </c>
      <c r="BB14" s="15">
        <f>SUM(BB15:BB21)</f>
        <v>0</v>
      </c>
      <c r="BC14" s="15">
        <f>SUM(BC15:BC21)</f>
        <v>0</v>
      </c>
      <c r="BD14" s="15">
        <f aca="true" t="shared" si="12" ref="BD14:BF63">AX14+BA14</f>
        <v>1335102.4360000002</v>
      </c>
      <c r="BE14" s="15">
        <f t="shared" si="12"/>
        <v>1247583.1</v>
      </c>
      <c r="BF14" s="15">
        <f t="shared" si="12"/>
        <v>1247335.2000000002</v>
      </c>
      <c r="BG14" s="15">
        <f>SUM(BG15:BG21)</f>
        <v>816.5</v>
      </c>
      <c r="BH14" s="15">
        <f>SUM(BH15:BH21)</f>
        <v>0</v>
      </c>
      <c r="BI14" s="15">
        <f aca="true" t="shared" si="13" ref="BI14:BJ63">BD14+BG14</f>
        <v>1335918.9360000002</v>
      </c>
      <c r="BJ14" s="15">
        <f t="shared" si="13"/>
        <v>1247583.1</v>
      </c>
      <c r="BK14" s="15">
        <f aca="true" t="shared" si="14" ref="BK14:BK63">BF14</f>
        <v>1247335.2000000002</v>
      </c>
      <c r="BL14" s="15">
        <f>SUM(BL15:BL21)</f>
        <v>0</v>
      </c>
      <c r="BM14" s="15">
        <f aca="true" t="shared" si="15" ref="BM14:BM63">BI14+BL14</f>
        <v>1335918.9360000002</v>
      </c>
      <c r="BN14" s="15">
        <f>SUM(BN15:BN21)</f>
        <v>3284.3670000000006</v>
      </c>
      <c r="BO14" s="15">
        <f>SUM(BO15:BO21)</f>
        <v>600.8</v>
      </c>
      <c r="BP14" s="15">
        <f>SUM(BP15:BP21)</f>
        <v>600.8</v>
      </c>
      <c r="BQ14" s="15">
        <f aca="true" t="shared" si="16" ref="BQ14:BQ63">BM14+BN14</f>
        <v>1339203.3030000003</v>
      </c>
      <c r="BR14" s="15">
        <f aca="true" t="shared" si="17" ref="BR14:BS63">BJ14+BO14</f>
        <v>1248183.9000000001</v>
      </c>
      <c r="BS14" s="15">
        <f t="shared" si="17"/>
        <v>1247936.0000000002</v>
      </c>
      <c r="BT14" s="15">
        <f>SUM(BT15:BT21)</f>
        <v>1457.1950000000002</v>
      </c>
      <c r="BU14" s="15">
        <f>BQ14+BT14</f>
        <v>1340660.4980000004</v>
      </c>
      <c r="BV14" s="15">
        <f>SUM(BV15:BV21)</f>
        <v>-7500.2300000000005</v>
      </c>
      <c r="BW14" s="15">
        <f>SUM(BW15:BW21)</f>
        <v>2500.3</v>
      </c>
      <c r="BX14" s="15">
        <f>SUM(BX15:BX21)</f>
        <v>0</v>
      </c>
      <c r="BY14" s="15">
        <f aca="true" t="shared" si="18" ref="BY14:BY64">BU14+BV14</f>
        <v>1333160.2680000004</v>
      </c>
      <c r="BZ14" s="15">
        <f aca="true" t="shared" si="19" ref="BZ14:BZ64">BR14+BW14</f>
        <v>1250684.2000000002</v>
      </c>
      <c r="CA14" s="15">
        <f aca="true" t="shared" si="20" ref="CA14:CA64">BS14+BX14</f>
        <v>1247936.0000000002</v>
      </c>
      <c r="CB14" s="15">
        <f>SUM(CB15:CB21)</f>
        <v>0</v>
      </c>
    </row>
    <row r="15" spans="1:80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21" ref="E15:E65">F15-D15</f>
        <v>-428.10000000000036</v>
      </c>
      <c r="F15" s="7">
        <v>2284.2</v>
      </c>
      <c r="G15" s="7">
        <v>2712.3</v>
      </c>
      <c r="H15" s="7">
        <f aca="true" t="shared" si="22" ref="H15:H65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3"/>
        <v>2879.9</v>
      </c>
      <c r="S15" s="19"/>
      <c r="T15" s="19"/>
      <c r="U15" s="19"/>
      <c r="V15" s="19">
        <f t="shared" si="4"/>
        <v>2284.2</v>
      </c>
      <c r="W15" s="19">
        <f t="shared" si="5"/>
        <v>2879.9</v>
      </c>
      <c r="X15" s="19">
        <f t="shared" si="5"/>
        <v>2879.9</v>
      </c>
      <c r="Y15" s="7"/>
      <c r="Z15" s="7"/>
      <c r="AA15" s="7"/>
      <c r="AB15" s="19">
        <f t="shared" si="6"/>
        <v>2284.2</v>
      </c>
      <c r="AC15" s="19">
        <f t="shared" si="6"/>
        <v>2879.9</v>
      </c>
      <c r="AD15" s="19">
        <f t="shared" si="6"/>
        <v>2879.9</v>
      </c>
      <c r="AE15" s="7"/>
      <c r="AF15" s="19">
        <f t="shared" si="7"/>
        <v>2284.2</v>
      </c>
      <c r="AG15" s="19">
        <f t="shared" si="8"/>
        <v>2879.9</v>
      </c>
      <c r="AH15" s="19">
        <f t="shared" si="8"/>
        <v>2879.9</v>
      </c>
      <c r="AI15" s="7"/>
      <c r="AJ15" s="7"/>
      <c r="AK15" s="7"/>
      <c r="AL15" s="19">
        <f t="shared" si="9"/>
        <v>2284.2</v>
      </c>
      <c r="AM15" s="19">
        <f t="shared" si="9"/>
        <v>2879.9</v>
      </c>
      <c r="AN15" s="19">
        <f t="shared" si="9"/>
        <v>2879.9</v>
      </c>
      <c r="AO15" s="7"/>
      <c r="AP15" s="7"/>
      <c r="AQ15" s="7"/>
      <c r="AR15" s="7">
        <f t="shared" si="10"/>
        <v>2284.2</v>
      </c>
      <c r="AS15" s="7">
        <f t="shared" si="10"/>
        <v>2879.9</v>
      </c>
      <c r="AT15" s="7">
        <f t="shared" si="10"/>
        <v>2879.9</v>
      </c>
      <c r="AU15" s="7"/>
      <c r="AV15" s="7"/>
      <c r="AW15" s="7"/>
      <c r="AX15" s="7">
        <f t="shared" si="11"/>
        <v>2284.2</v>
      </c>
      <c r="AY15" s="7">
        <f t="shared" si="11"/>
        <v>2879.9</v>
      </c>
      <c r="AZ15" s="7">
        <f t="shared" si="11"/>
        <v>2879.9</v>
      </c>
      <c r="BA15" s="7"/>
      <c r="BB15" s="7"/>
      <c r="BC15" s="7"/>
      <c r="BD15" s="7">
        <f t="shared" si="12"/>
        <v>2284.2</v>
      </c>
      <c r="BE15" s="7">
        <f t="shared" si="12"/>
        <v>2879.9</v>
      </c>
      <c r="BF15" s="7">
        <f t="shared" si="12"/>
        <v>2879.9</v>
      </c>
      <c r="BG15" s="7"/>
      <c r="BH15" s="7"/>
      <c r="BI15" s="7">
        <f t="shared" si="13"/>
        <v>2284.2</v>
      </c>
      <c r="BJ15" s="7">
        <f t="shared" si="13"/>
        <v>2879.9</v>
      </c>
      <c r="BK15" s="7">
        <f t="shared" si="14"/>
        <v>2879.9</v>
      </c>
      <c r="BL15" s="7"/>
      <c r="BM15" s="7">
        <f t="shared" si="15"/>
        <v>2284.2</v>
      </c>
      <c r="BN15" s="7"/>
      <c r="BO15" s="7"/>
      <c r="BP15" s="7"/>
      <c r="BQ15" s="7">
        <f t="shared" si="16"/>
        <v>2284.2</v>
      </c>
      <c r="BR15" s="7">
        <f t="shared" si="17"/>
        <v>2879.9</v>
      </c>
      <c r="BS15" s="7">
        <f t="shared" si="17"/>
        <v>2879.9</v>
      </c>
      <c r="BT15" s="7"/>
      <c r="BU15" s="7">
        <f aca="true" t="shared" si="23" ref="BU15:BU65">BQ15+BT15</f>
        <v>2284.2</v>
      </c>
      <c r="BV15" s="7"/>
      <c r="BW15" s="7"/>
      <c r="BX15" s="7"/>
      <c r="BY15" s="7">
        <f t="shared" si="18"/>
        <v>2284.2</v>
      </c>
      <c r="BZ15" s="7">
        <f t="shared" si="19"/>
        <v>2879.9</v>
      </c>
      <c r="CA15" s="7">
        <f t="shared" si="20"/>
        <v>2879.9</v>
      </c>
      <c r="CB15" s="7"/>
    </row>
    <row r="16" spans="1:80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21"/>
        <v>-5947.800000000003</v>
      </c>
      <c r="F16" s="7">
        <v>118274.5</v>
      </c>
      <c r="G16" s="7">
        <v>129184.3</v>
      </c>
      <c r="H16" s="7">
        <f t="shared" si="22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3"/>
        <v>133429</v>
      </c>
      <c r="S16" s="19"/>
      <c r="T16" s="19"/>
      <c r="U16" s="19"/>
      <c r="V16" s="19">
        <f t="shared" si="4"/>
        <v>118274.5</v>
      </c>
      <c r="W16" s="19">
        <f t="shared" si="5"/>
        <v>133429</v>
      </c>
      <c r="X16" s="19">
        <f t="shared" si="5"/>
        <v>133429</v>
      </c>
      <c r="Y16" s="7"/>
      <c r="Z16" s="7"/>
      <c r="AA16" s="7"/>
      <c r="AB16" s="19">
        <f t="shared" si="6"/>
        <v>118274.5</v>
      </c>
      <c r="AC16" s="19">
        <f t="shared" si="6"/>
        <v>133429</v>
      </c>
      <c r="AD16" s="19">
        <f t="shared" si="6"/>
        <v>133429</v>
      </c>
      <c r="AE16" s="7"/>
      <c r="AF16" s="19">
        <f t="shared" si="7"/>
        <v>118274.5</v>
      </c>
      <c r="AG16" s="19">
        <f t="shared" si="8"/>
        <v>133429</v>
      </c>
      <c r="AH16" s="19">
        <f t="shared" si="8"/>
        <v>133429</v>
      </c>
      <c r="AI16" s="7"/>
      <c r="AJ16" s="7"/>
      <c r="AK16" s="7"/>
      <c r="AL16" s="19">
        <f t="shared" si="9"/>
        <v>118274.5</v>
      </c>
      <c r="AM16" s="19">
        <f t="shared" si="9"/>
        <v>133429</v>
      </c>
      <c r="AN16" s="19">
        <f t="shared" si="9"/>
        <v>133429</v>
      </c>
      <c r="AO16" s="7"/>
      <c r="AP16" s="7"/>
      <c r="AQ16" s="7"/>
      <c r="AR16" s="7">
        <f t="shared" si="10"/>
        <v>118274.5</v>
      </c>
      <c r="AS16" s="7">
        <f t="shared" si="10"/>
        <v>133429</v>
      </c>
      <c r="AT16" s="7">
        <f t="shared" si="10"/>
        <v>133429</v>
      </c>
      <c r="AU16" s="7"/>
      <c r="AV16" s="7"/>
      <c r="AW16" s="7"/>
      <c r="AX16" s="7">
        <f t="shared" si="11"/>
        <v>118274.5</v>
      </c>
      <c r="AY16" s="7">
        <f t="shared" si="11"/>
        <v>133429</v>
      </c>
      <c r="AZ16" s="7">
        <f t="shared" si="11"/>
        <v>133429</v>
      </c>
      <c r="BA16" s="7"/>
      <c r="BB16" s="7"/>
      <c r="BC16" s="7"/>
      <c r="BD16" s="7">
        <f t="shared" si="12"/>
        <v>118274.5</v>
      </c>
      <c r="BE16" s="7">
        <f t="shared" si="12"/>
        <v>133429</v>
      </c>
      <c r="BF16" s="7">
        <f t="shared" si="12"/>
        <v>133429</v>
      </c>
      <c r="BG16" s="7"/>
      <c r="BH16" s="7"/>
      <c r="BI16" s="7">
        <f t="shared" si="13"/>
        <v>118274.5</v>
      </c>
      <c r="BJ16" s="7">
        <f t="shared" si="13"/>
        <v>133429</v>
      </c>
      <c r="BK16" s="7">
        <f t="shared" si="14"/>
        <v>133429</v>
      </c>
      <c r="BL16" s="7"/>
      <c r="BM16" s="7">
        <f t="shared" si="15"/>
        <v>118274.5</v>
      </c>
      <c r="BN16" s="7"/>
      <c r="BO16" s="7"/>
      <c r="BP16" s="7"/>
      <c r="BQ16" s="7">
        <f t="shared" si="16"/>
        <v>118274.5</v>
      </c>
      <c r="BR16" s="7">
        <f t="shared" si="17"/>
        <v>133429</v>
      </c>
      <c r="BS16" s="7">
        <f t="shared" si="17"/>
        <v>133429</v>
      </c>
      <c r="BT16" s="7">
        <v>2500</v>
      </c>
      <c r="BU16" s="7">
        <f t="shared" si="23"/>
        <v>120774.5</v>
      </c>
      <c r="BV16" s="7"/>
      <c r="BW16" s="7"/>
      <c r="BX16" s="7"/>
      <c r="BY16" s="7">
        <f t="shared" si="18"/>
        <v>120774.5</v>
      </c>
      <c r="BZ16" s="7">
        <f t="shared" si="19"/>
        <v>133429</v>
      </c>
      <c r="CA16" s="7">
        <f t="shared" si="20"/>
        <v>133429</v>
      </c>
      <c r="CB16" s="7"/>
    </row>
    <row r="17" spans="1:80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21"/>
        <v>3079.7000000000116</v>
      </c>
      <c r="F17" s="7">
        <v>467712.3</v>
      </c>
      <c r="G17" s="7">
        <v>482746.3</v>
      </c>
      <c r="H17" s="7">
        <f t="shared" si="22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3"/>
        <v>523316.10000000003</v>
      </c>
      <c r="S17" s="19"/>
      <c r="T17" s="19"/>
      <c r="U17" s="19"/>
      <c r="V17" s="19">
        <f t="shared" si="4"/>
        <v>469992.2</v>
      </c>
      <c r="W17" s="19">
        <f t="shared" si="5"/>
        <v>534055.3999999999</v>
      </c>
      <c r="X17" s="19">
        <f t="shared" si="5"/>
        <v>523316.10000000003</v>
      </c>
      <c r="Y17" s="7">
        <f>4200+9733.1</f>
        <v>13933.1</v>
      </c>
      <c r="Z17" s="7"/>
      <c r="AA17" s="7"/>
      <c r="AB17" s="19">
        <f t="shared" si="6"/>
        <v>483925.3</v>
      </c>
      <c r="AC17" s="19">
        <f t="shared" si="6"/>
        <v>534055.3999999999</v>
      </c>
      <c r="AD17" s="19">
        <f t="shared" si="6"/>
        <v>523316.10000000003</v>
      </c>
      <c r="AE17" s="7"/>
      <c r="AF17" s="19">
        <f t="shared" si="7"/>
        <v>483925.3</v>
      </c>
      <c r="AG17" s="19">
        <f t="shared" si="8"/>
        <v>534055.3999999999</v>
      </c>
      <c r="AH17" s="19">
        <f t="shared" si="8"/>
        <v>523316.10000000003</v>
      </c>
      <c r="AI17" s="7"/>
      <c r="AJ17" s="7"/>
      <c r="AK17" s="7"/>
      <c r="AL17" s="19">
        <f t="shared" si="9"/>
        <v>483925.3</v>
      </c>
      <c r="AM17" s="19">
        <f t="shared" si="9"/>
        <v>534055.3999999999</v>
      </c>
      <c r="AN17" s="19">
        <f t="shared" si="9"/>
        <v>523316.10000000003</v>
      </c>
      <c r="AO17" s="7"/>
      <c r="AP17" s="7"/>
      <c r="AQ17" s="7"/>
      <c r="AR17" s="7">
        <f t="shared" si="10"/>
        <v>483925.3</v>
      </c>
      <c r="AS17" s="7">
        <f t="shared" si="10"/>
        <v>534055.3999999999</v>
      </c>
      <c r="AT17" s="7">
        <f t="shared" si="10"/>
        <v>523316.10000000003</v>
      </c>
      <c r="AU17" s="7">
        <f>24.373+5.091+25.982+16.296+4.212+4.308+5992.21+8910+137.157+242.2+1740+30530.646+452.665</f>
        <v>48085.14</v>
      </c>
      <c r="AV17" s="7">
        <f>282.9</f>
        <v>282.9</v>
      </c>
      <c r="AW17" s="7">
        <f>282.9</f>
        <v>282.9</v>
      </c>
      <c r="AX17" s="7">
        <f t="shared" si="11"/>
        <v>532010.44</v>
      </c>
      <c r="AY17" s="7">
        <f t="shared" si="11"/>
        <v>534338.2999999999</v>
      </c>
      <c r="AZ17" s="7">
        <f t="shared" si="11"/>
        <v>523599.00000000006</v>
      </c>
      <c r="BA17" s="7"/>
      <c r="BB17" s="7">
        <v>17.5</v>
      </c>
      <c r="BC17" s="7">
        <v>17.5</v>
      </c>
      <c r="BD17" s="7">
        <f t="shared" si="12"/>
        <v>532010.44</v>
      </c>
      <c r="BE17" s="7">
        <f t="shared" si="12"/>
        <v>534355.7999999999</v>
      </c>
      <c r="BF17" s="7">
        <f t="shared" si="12"/>
        <v>523616.50000000006</v>
      </c>
      <c r="BG17" s="7">
        <f>-396.2-5992.21</f>
        <v>-6388.41</v>
      </c>
      <c r="BH17" s="7"/>
      <c r="BI17" s="7">
        <f t="shared" si="13"/>
        <v>525622.0299999999</v>
      </c>
      <c r="BJ17" s="7">
        <f t="shared" si="13"/>
        <v>534355.7999999999</v>
      </c>
      <c r="BK17" s="7">
        <f t="shared" si="14"/>
        <v>523616.50000000006</v>
      </c>
      <c r="BL17" s="7"/>
      <c r="BM17" s="7">
        <f t="shared" si="15"/>
        <v>525622.0299999999</v>
      </c>
      <c r="BN17" s="7">
        <v>1950</v>
      </c>
      <c r="BO17" s="7"/>
      <c r="BP17" s="7"/>
      <c r="BQ17" s="7">
        <f t="shared" si="16"/>
        <v>527572.0299999999</v>
      </c>
      <c r="BR17" s="7">
        <f t="shared" si="17"/>
        <v>534355.7999999999</v>
      </c>
      <c r="BS17" s="7">
        <f t="shared" si="17"/>
        <v>523616.50000000006</v>
      </c>
      <c r="BT17" s="7">
        <f>-799.7-2500</f>
        <v>-3299.7</v>
      </c>
      <c r="BU17" s="7">
        <f t="shared" si="23"/>
        <v>524272.3299999999</v>
      </c>
      <c r="BV17" s="7">
        <v>-2500.3</v>
      </c>
      <c r="BW17" s="7">
        <v>2500.3</v>
      </c>
      <c r="BX17" s="7"/>
      <c r="BY17" s="7">
        <f t="shared" si="18"/>
        <v>521772.0299999999</v>
      </c>
      <c r="BZ17" s="7">
        <f t="shared" si="19"/>
        <v>536856.1</v>
      </c>
      <c r="CA17" s="7">
        <f t="shared" si="20"/>
        <v>523616.50000000006</v>
      </c>
      <c r="CB17" s="7"/>
    </row>
    <row r="18" spans="1:80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21"/>
        <v>-12037.399999999994</v>
      </c>
      <c r="F18" s="7">
        <v>84541</v>
      </c>
      <c r="G18" s="7">
        <v>97428.6</v>
      </c>
      <c r="H18" s="7">
        <f t="shared" si="22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3"/>
        <v>92577.4</v>
      </c>
      <c r="S18" s="19"/>
      <c r="T18" s="19"/>
      <c r="U18" s="19"/>
      <c r="V18" s="19">
        <f t="shared" si="4"/>
        <v>84541</v>
      </c>
      <c r="W18" s="19">
        <f t="shared" si="5"/>
        <v>92376</v>
      </c>
      <c r="X18" s="19">
        <f t="shared" si="5"/>
        <v>92577.4</v>
      </c>
      <c r="Y18" s="7"/>
      <c r="Z18" s="7"/>
      <c r="AA18" s="7"/>
      <c r="AB18" s="19">
        <f t="shared" si="6"/>
        <v>84541</v>
      </c>
      <c r="AC18" s="19">
        <f t="shared" si="6"/>
        <v>92376</v>
      </c>
      <c r="AD18" s="19">
        <f t="shared" si="6"/>
        <v>92577.4</v>
      </c>
      <c r="AE18" s="7"/>
      <c r="AF18" s="19">
        <f t="shared" si="7"/>
        <v>84541</v>
      </c>
      <c r="AG18" s="19">
        <f t="shared" si="8"/>
        <v>92376</v>
      </c>
      <c r="AH18" s="19">
        <f t="shared" si="8"/>
        <v>92577.4</v>
      </c>
      <c r="AI18" s="7"/>
      <c r="AJ18" s="7"/>
      <c r="AK18" s="7"/>
      <c r="AL18" s="19">
        <f t="shared" si="9"/>
        <v>84541</v>
      </c>
      <c r="AM18" s="19">
        <f t="shared" si="9"/>
        <v>92376</v>
      </c>
      <c r="AN18" s="19">
        <f t="shared" si="9"/>
        <v>92577.4</v>
      </c>
      <c r="AO18" s="7"/>
      <c r="AP18" s="7"/>
      <c r="AQ18" s="7"/>
      <c r="AR18" s="7">
        <f t="shared" si="10"/>
        <v>84541</v>
      </c>
      <c r="AS18" s="7">
        <f t="shared" si="10"/>
        <v>92376</v>
      </c>
      <c r="AT18" s="7">
        <f t="shared" si="10"/>
        <v>92577.4</v>
      </c>
      <c r="AU18" s="7"/>
      <c r="AV18" s="7"/>
      <c r="AW18" s="7"/>
      <c r="AX18" s="7">
        <f t="shared" si="11"/>
        <v>84541</v>
      </c>
      <c r="AY18" s="7">
        <f t="shared" si="11"/>
        <v>92376</v>
      </c>
      <c r="AZ18" s="7">
        <f t="shared" si="11"/>
        <v>92577.4</v>
      </c>
      <c r="BA18" s="7"/>
      <c r="BB18" s="7"/>
      <c r="BC18" s="7"/>
      <c r="BD18" s="7">
        <f t="shared" si="12"/>
        <v>84541</v>
      </c>
      <c r="BE18" s="7">
        <f t="shared" si="12"/>
        <v>92376</v>
      </c>
      <c r="BF18" s="7">
        <f t="shared" si="12"/>
        <v>92577.4</v>
      </c>
      <c r="BG18" s="7"/>
      <c r="BH18" s="7"/>
      <c r="BI18" s="7">
        <f t="shared" si="13"/>
        <v>84541</v>
      </c>
      <c r="BJ18" s="7">
        <f t="shared" si="13"/>
        <v>92376</v>
      </c>
      <c r="BK18" s="7">
        <f t="shared" si="14"/>
        <v>92577.4</v>
      </c>
      <c r="BL18" s="7"/>
      <c r="BM18" s="7">
        <f t="shared" si="15"/>
        <v>84541</v>
      </c>
      <c r="BN18" s="7"/>
      <c r="BO18" s="7"/>
      <c r="BP18" s="7"/>
      <c r="BQ18" s="7">
        <f t="shared" si="16"/>
        <v>84541</v>
      </c>
      <c r="BR18" s="7">
        <f t="shared" si="17"/>
        <v>92376</v>
      </c>
      <c r="BS18" s="7">
        <f t="shared" si="17"/>
        <v>92577.4</v>
      </c>
      <c r="BT18" s="7"/>
      <c r="BU18" s="7">
        <f t="shared" si="23"/>
        <v>84541</v>
      </c>
      <c r="BV18" s="7"/>
      <c r="BW18" s="7"/>
      <c r="BX18" s="7"/>
      <c r="BY18" s="7">
        <f t="shared" si="18"/>
        <v>84541</v>
      </c>
      <c r="BZ18" s="7">
        <f t="shared" si="19"/>
        <v>92376</v>
      </c>
      <c r="CA18" s="7">
        <f t="shared" si="20"/>
        <v>92577.4</v>
      </c>
      <c r="CB18" s="7"/>
    </row>
    <row r="19" spans="1:80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21"/>
        <v>315.5</v>
      </c>
      <c r="F19" s="7">
        <v>4688.9</v>
      </c>
      <c r="G19" s="7">
        <v>4388.6</v>
      </c>
      <c r="H19" s="7">
        <f t="shared" si="22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3"/>
        <v>4708.2</v>
      </c>
      <c r="S19" s="19"/>
      <c r="T19" s="19"/>
      <c r="U19" s="19"/>
      <c r="V19" s="19">
        <f t="shared" si="4"/>
        <v>4688.9</v>
      </c>
      <c r="W19" s="19">
        <f t="shared" si="5"/>
        <v>4708.2</v>
      </c>
      <c r="X19" s="19">
        <f t="shared" si="5"/>
        <v>4708.2</v>
      </c>
      <c r="Y19" s="7"/>
      <c r="Z19" s="7"/>
      <c r="AA19" s="7"/>
      <c r="AB19" s="19">
        <f t="shared" si="6"/>
        <v>4688.9</v>
      </c>
      <c r="AC19" s="19">
        <f t="shared" si="6"/>
        <v>4708.2</v>
      </c>
      <c r="AD19" s="19">
        <f t="shared" si="6"/>
        <v>4708.2</v>
      </c>
      <c r="AE19" s="7"/>
      <c r="AF19" s="19">
        <f t="shared" si="7"/>
        <v>4688.9</v>
      </c>
      <c r="AG19" s="19">
        <f t="shared" si="8"/>
        <v>4708.2</v>
      </c>
      <c r="AH19" s="19">
        <f t="shared" si="8"/>
        <v>4708.2</v>
      </c>
      <c r="AI19" s="7"/>
      <c r="AJ19" s="7"/>
      <c r="AK19" s="7"/>
      <c r="AL19" s="19">
        <f t="shared" si="9"/>
        <v>4688.9</v>
      </c>
      <c r="AM19" s="19">
        <f t="shared" si="9"/>
        <v>4708.2</v>
      </c>
      <c r="AN19" s="19">
        <f t="shared" si="9"/>
        <v>4708.2</v>
      </c>
      <c r="AO19" s="7"/>
      <c r="AP19" s="7"/>
      <c r="AQ19" s="7"/>
      <c r="AR19" s="7">
        <f t="shared" si="10"/>
        <v>4688.9</v>
      </c>
      <c r="AS19" s="7">
        <f t="shared" si="10"/>
        <v>4708.2</v>
      </c>
      <c r="AT19" s="7">
        <f t="shared" si="10"/>
        <v>4708.2</v>
      </c>
      <c r="AU19" s="7">
        <f>8.578+3000</f>
        <v>3008.578</v>
      </c>
      <c r="AV19" s="7"/>
      <c r="AW19" s="7"/>
      <c r="AX19" s="7">
        <f t="shared" si="11"/>
        <v>7697.477999999999</v>
      </c>
      <c r="AY19" s="7">
        <f t="shared" si="11"/>
        <v>4708.2</v>
      </c>
      <c r="AZ19" s="7">
        <f t="shared" si="11"/>
        <v>4708.2</v>
      </c>
      <c r="BA19" s="7"/>
      <c r="BB19" s="7"/>
      <c r="BC19" s="7"/>
      <c r="BD19" s="7">
        <f t="shared" si="12"/>
        <v>7697.477999999999</v>
      </c>
      <c r="BE19" s="7">
        <f t="shared" si="12"/>
        <v>4708.2</v>
      </c>
      <c r="BF19" s="7">
        <f t="shared" si="12"/>
        <v>4708.2</v>
      </c>
      <c r="BG19" s="7"/>
      <c r="BH19" s="7"/>
      <c r="BI19" s="7">
        <f t="shared" si="13"/>
        <v>7697.477999999999</v>
      </c>
      <c r="BJ19" s="7">
        <f t="shared" si="13"/>
        <v>4708.2</v>
      </c>
      <c r="BK19" s="7">
        <f t="shared" si="14"/>
        <v>4708.2</v>
      </c>
      <c r="BL19" s="7"/>
      <c r="BM19" s="7">
        <f t="shared" si="15"/>
        <v>7697.477999999999</v>
      </c>
      <c r="BN19" s="7"/>
      <c r="BO19" s="7"/>
      <c r="BP19" s="7"/>
      <c r="BQ19" s="7">
        <f t="shared" si="16"/>
        <v>7697.477999999999</v>
      </c>
      <c r="BR19" s="7">
        <f t="shared" si="17"/>
        <v>4708.2</v>
      </c>
      <c r="BS19" s="7">
        <f t="shared" si="17"/>
        <v>4708.2</v>
      </c>
      <c r="BT19" s="7"/>
      <c r="BU19" s="7">
        <f t="shared" si="23"/>
        <v>7697.477999999999</v>
      </c>
      <c r="BV19" s="7"/>
      <c r="BW19" s="7"/>
      <c r="BX19" s="7"/>
      <c r="BY19" s="7">
        <f t="shared" si="18"/>
        <v>7697.477999999999</v>
      </c>
      <c r="BZ19" s="7">
        <f t="shared" si="19"/>
        <v>4708.2</v>
      </c>
      <c r="CA19" s="7">
        <f t="shared" si="20"/>
        <v>4708.2</v>
      </c>
      <c r="CB19" s="7"/>
    </row>
    <row r="20" spans="1:80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21"/>
        <v>-3758.899999999994</v>
      </c>
      <c r="F20" s="7">
        <v>66356.6</v>
      </c>
      <c r="G20" s="7">
        <v>75163.8</v>
      </c>
      <c r="H20" s="7">
        <f t="shared" si="22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3"/>
        <v>75163.8</v>
      </c>
      <c r="S20" s="19"/>
      <c r="T20" s="19"/>
      <c r="U20" s="19"/>
      <c r="V20" s="19">
        <f t="shared" si="4"/>
        <v>66356.6</v>
      </c>
      <c r="W20" s="19">
        <f t="shared" si="5"/>
        <v>75163.8</v>
      </c>
      <c r="X20" s="19">
        <f t="shared" si="5"/>
        <v>75163.8</v>
      </c>
      <c r="Y20" s="7"/>
      <c r="Z20" s="7"/>
      <c r="AA20" s="7"/>
      <c r="AB20" s="19">
        <f t="shared" si="6"/>
        <v>66356.6</v>
      </c>
      <c r="AC20" s="19">
        <f t="shared" si="6"/>
        <v>75163.8</v>
      </c>
      <c r="AD20" s="19">
        <f t="shared" si="6"/>
        <v>75163.8</v>
      </c>
      <c r="AE20" s="7"/>
      <c r="AF20" s="19">
        <f t="shared" si="7"/>
        <v>66356.6</v>
      </c>
      <c r="AG20" s="19">
        <f t="shared" si="8"/>
        <v>75163.8</v>
      </c>
      <c r="AH20" s="19">
        <f t="shared" si="8"/>
        <v>75163.8</v>
      </c>
      <c r="AI20" s="7"/>
      <c r="AJ20" s="7"/>
      <c r="AK20" s="7"/>
      <c r="AL20" s="19">
        <f t="shared" si="9"/>
        <v>66356.6</v>
      </c>
      <c r="AM20" s="19">
        <f t="shared" si="9"/>
        <v>75163.8</v>
      </c>
      <c r="AN20" s="19">
        <f t="shared" si="9"/>
        <v>75163.8</v>
      </c>
      <c r="AO20" s="7"/>
      <c r="AP20" s="7"/>
      <c r="AQ20" s="7"/>
      <c r="AR20" s="7">
        <f t="shared" si="10"/>
        <v>66356.6</v>
      </c>
      <c r="AS20" s="7">
        <f t="shared" si="10"/>
        <v>75163.8</v>
      </c>
      <c r="AT20" s="7">
        <f t="shared" si="10"/>
        <v>75163.8</v>
      </c>
      <c r="AU20" s="7"/>
      <c r="AV20" s="7"/>
      <c r="AW20" s="7"/>
      <c r="AX20" s="7">
        <f t="shared" si="11"/>
        <v>66356.6</v>
      </c>
      <c r="AY20" s="7">
        <f t="shared" si="11"/>
        <v>75163.8</v>
      </c>
      <c r="AZ20" s="7">
        <f t="shared" si="11"/>
        <v>75163.8</v>
      </c>
      <c r="BA20" s="7"/>
      <c r="BB20" s="7"/>
      <c r="BC20" s="7"/>
      <c r="BD20" s="7">
        <f t="shared" si="12"/>
        <v>66356.6</v>
      </c>
      <c r="BE20" s="7">
        <f t="shared" si="12"/>
        <v>75163.8</v>
      </c>
      <c r="BF20" s="7">
        <f t="shared" si="12"/>
        <v>75163.8</v>
      </c>
      <c r="BG20" s="7"/>
      <c r="BH20" s="7"/>
      <c r="BI20" s="7">
        <f t="shared" si="13"/>
        <v>66356.6</v>
      </c>
      <c r="BJ20" s="7">
        <f t="shared" si="13"/>
        <v>75163.8</v>
      </c>
      <c r="BK20" s="7">
        <f t="shared" si="14"/>
        <v>75163.8</v>
      </c>
      <c r="BL20" s="7"/>
      <c r="BM20" s="7">
        <f t="shared" si="15"/>
        <v>66356.6</v>
      </c>
      <c r="BN20" s="7"/>
      <c r="BO20" s="7"/>
      <c r="BP20" s="7"/>
      <c r="BQ20" s="7">
        <f t="shared" si="16"/>
        <v>66356.6</v>
      </c>
      <c r="BR20" s="7">
        <f t="shared" si="17"/>
        <v>75163.8</v>
      </c>
      <c r="BS20" s="7">
        <f t="shared" si="17"/>
        <v>75163.8</v>
      </c>
      <c r="BT20" s="7"/>
      <c r="BU20" s="7">
        <f t="shared" si="23"/>
        <v>66356.6</v>
      </c>
      <c r="BV20" s="7"/>
      <c r="BW20" s="7"/>
      <c r="BX20" s="7"/>
      <c r="BY20" s="7">
        <f t="shared" si="18"/>
        <v>66356.6</v>
      </c>
      <c r="BZ20" s="7">
        <f t="shared" si="19"/>
        <v>75163.8</v>
      </c>
      <c r="CA20" s="7">
        <f t="shared" si="20"/>
        <v>75163.8</v>
      </c>
      <c r="CB20" s="7"/>
    </row>
    <row r="21" spans="1:80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21"/>
        <v>51272.09999999998</v>
      </c>
      <c r="F21" s="7">
        <v>432665.1</v>
      </c>
      <c r="G21" s="7">
        <v>385410.7</v>
      </c>
      <c r="H21" s="7">
        <f t="shared" si="22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3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4"/>
        <v>454823.19999999995</v>
      </c>
      <c r="W21" s="19">
        <f t="shared" si="5"/>
        <v>404970.8</v>
      </c>
      <c r="X21" s="19">
        <f t="shared" si="5"/>
        <v>415260.8</v>
      </c>
      <c r="Y21" s="7">
        <f>-1250+2500</f>
        <v>1250</v>
      </c>
      <c r="Z21" s="7"/>
      <c r="AA21" s="7"/>
      <c r="AB21" s="19">
        <f t="shared" si="6"/>
        <v>456073.19999999995</v>
      </c>
      <c r="AC21" s="19">
        <f t="shared" si="6"/>
        <v>404970.8</v>
      </c>
      <c r="AD21" s="19">
        <f t="shared" si="6"/>
        <v>415260.8</v>
      </c>
      <c r="AE21" s="7">
        <v>1250</v>
      </c>
      <c r="AF21" s="19">
        <f t="shared" si="7"/>
        <v>457323.19999999995</v>
      </c>
      <c r="AG21" s="19">
        <f t="shared" si="8"/>
        <v>404970.8</v>
      </c>
      <c r="AH21" s="19">
        <f t="shared" si="8"/>
        <v>415260.8</v>
      </c>
      <c r="AI21" s="7"/>
      <c r="AJ21" s="7"/>
      <c r="AK21" s="7"/>
      <c r="AL21" s="19">
        <f t="shared" si="9"/>
        <v>457323.19999999995</v>
      </c>
      <c r="AM21" s="19">
        <f t="shared" si="9"/>
        <v>404970.8</v>
      </c>
      <c r="AN21" s="19">
        <f t="shared" si="9"/>
        <v>415260.8</v>
      </c>
      <c r="AO21" s="7"/>
      <c r="AP21" s="7"/>
      <c r="AQ21" s="7"/>
      <c r="AR21" s="7">
        <f t="shared" si="10"/>
        <v>457323.19999999995</v>
      </c>
      <c r="AS21" s="7">
        <f t="shared" si="10"/>
        <v>404970.8</v>
      </c>
      <c r="AT21" s="7">
        <f t="shared" si="10"/>
        <v>415260.8</v>
      </c>
      <c r="AU21" s="7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1" s="7">
        <f>-565.8+282.9</f>
        <v>-282.9</v>
      </c>
      <c r="AW21" s="7">
        <f>-565.8+282.9</f>
        <v>-282.9</v>
      </c>
      <c r="AX21" s="7">
        <f t="shared" si="11"/>
        <v>523938.21799999994</v>
      </c>
      <c r="AY21" s="7">
        <f t="shared" si="11"/>
        <v>404687.89999999997</v>
      </c>
      <c r="AZ21" s="7">
        <f t="shared" si="11"/>
        <v>414977.89999999997</v>
      </c>
      <c r="BA21" s="7"/>
      <c r="BB21" s="7">
        <f>-35+17.5</f>
        <v>-17.5</v>
      </c>
      <c r="BC21" s="7">
        <f>-35+17.5</f>
        <v>-17.5</v>
      </c>
      <c r="BD21" s="7">
        <f t="shared" si="12"/>
        <v>523938.21799999994</v>
      </c>
      <c r="BE21" s="7">
        <f t="shared" si="12"/>
        <v>404670.39999999997</v>
      </c>
      <c r="BF21" s="7">
        <f t="shared" si="12"/>
        <v>414960.39999999997</v>
      </c>
      <c r="BG21" s="7">
        <f>161.9+222+828.8+5992.21</f>
        <v>7204.91</v>
      </c>
      <c r="BH21" s="7"/>
      <c r="BI21" s="7">
        <f t="shared" si="13"/>
        <v>531143.1279999999</v>
      </c>
      <c r="BJ21" s="7">
        <f t="shared" si="13"/>
        <v>404670.39999999997</v>
      </c>
      <c r="BK21" s="7">
        <f t="shared" si="14"/>
        <v>414960.39999999997</v>
      </c>
      <c r="BL21" s="7"/>
      <c r="BM21" s="7">
        <f t="shared" si="15"/>
        <v>531143.1279999999</v>
      </c>
      <c r="BN21" s="7">
        <f>5786.859+188.3-3000-1640.792</f>
        <v>1334.3670000000006</v>
      </c>
      <c r="BO21" s="7">
        <v>600.8</v>
      </c>
      <c r="BP21" s="7">
        <v>600.8</v>
      </c>
      <c r="BQ21" s="7">
        <f t="shared" si="16"/>
        <v>532477.4949999999</v>
      </c>
      <c r="BR21" s="7">
        <f t="shared" si="17"/>
        <v>405271.19999999995</v>
      </c>
      <c r="BS21" s="7">
        <f t="shared" si="17"/>
        <v>415561.19999999995</v>
      </c>
      <c r="BT21" s="7">
        <f>1700-275.2-625.1+1457.195</f>
        <v>2256.895</v>
      </c>
      <c r="BU21" s="7">
        <f t="shared" si="23"/>
        <v>534734.3899999999</v>
      </c>
      <c r="BV21" s="7">
        <f>-4999.93</f>
        <v>-4999.93</v>
      </c>
      <c r="BW21" s="7"/>
      <c r="BX21" s="7"/>
      <c r="BY21" s="7">
        <f t="shared" si="18"/>
        <v>529734.4599999998</v>
      </c>
      <c r="BZ21" s="7">
        <f t="shared" si="19"/>
        <v>405271.19999999995</v>
      </c>
      <c r="CA21" s="7">
        <f t="shared" si="20"/>
        <v>415561.19999999995</v>
      </c>
      <c r="CB21" s="7"/>
    </row>
    <row r="22" spans="1:80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21"/>
        <v>-220668.2999999998</v>
      </c>
      <c r="F22" s="15">
        <f>SUM(F23:F25)</f>
        <v>1065199.2</v>
      </c>
      <c r="G22" s="15">
        <f>SUM(G23:G25)</f>
        <v>1289347.1</v>
      </c>
      <c r="H22" s="15">
        <f t="shared" si="22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3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4"/>
        <v>1214932.5</v>
      </c>
      <c r="W22" s="18">
        <f t="shared" si="5"/>
        <v>1217313.9</v>
      </c>
      <c r="X22" s="18">
        <f t="shared" si="5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6"/>
        <v>1214932.5</v>
      </c>
      <c r="AC22" s="18">
        <f t="shared" si="6"/>
        <v>1217313.9</v>
      </c>
      <c r="AD22" s="18">
        <f t="shared" si="6"/>
        <v>1276957.7999999998</v>
      </c>
      <c r="AE22" s="15">
        <f>SUM(AE23:AE25)</f>
        <v>2148</v>
      </c>
      <c r="AF22" s="18">
        <f t="shared" si="7"/>
        <v>1217080.5</v>
      </c>
      <c r="AG22" s="18">
        <f t="shared" si="8"/>
        <v>1217313.9</v>
      </c>
      <c r="AH22" s="18">
        <f t="shared" si="8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9"/>
        <v>1217080.5</v>
      </c>
      <c r="AM22" s="18">
        <f t="shared" si="9"/>
        <v>1217313.9</v>
      </c>
      <c r="AN22" s="18">
        <f t="shared" si="9"/>
        <v>1276957.7999999998</v>
      </c>
      <c r="AO22" s="15">
        <f>SUM(AO23:AO25)</f>
        <v>0</v>
      </c>
      <c r="AP22" s="15">
        <f>SUM(AP23:AP25)</f>
        <v>0</v>
      </c>
      <c r="AQ22" s="15">
        <f>SUM(AQ23:AQ25)</f>
        <v>0</v>
      </c>
      <c r="AR22" s="15">
        <f t="shared" si="10"/>
        <v>1217080.5</v>
      </c>
      <c r="AS22" s="15">
        <f t="shared" si="10"/>
        <v>1217313.9</v>
      </c>
      <c r="AT22" s="15">
        <f t="shared" si="10"/>
        <v>1276957.7999999998</v>
      </c>
      <c r="AU22" s="15">
        <f>SUM(AU23:AU25)</f>
        <v>16705.796000000002</v>
      </c>
      <c r="AV22" s="15">
        <f>SUM(AV23:AV25)</f>
        <v>4259.5</v>
      </c>
      <c r="AW22" s="15">
        <f>SUM(AW23:AW25)</f>
        <v>4740.8</v>
      </c>
      <c r="AX22" s="15">
        <f t="shared" si="11"/>
        <v>1233786.296</v>
      </c>
      <c r="AY22" s="15">
        <f t="shared" si="11"/>
        <v>1221573.4</v>
      </c>
      <c r="AZ22" s="15">
        <f t="shared" si="11"/>
        <v>1281698.5999999999</v>
      </c>
      <c r="BA22" s="15">
        <f>SUM(BA23:BA25)</f>
        <v>0</v>
      </c>
      <c r="BB22" s="15">
        <f>SUM(BB23:BB25)</f>
        <v>0</v>
      </c>
      <c r="BC22" s="15">
        <f>SUM(BC23:BC25)</f>
        <v>0</v>
      </c>
      <c r="BD22" s="15">
        <f t="shared" si="12"/>
        <v>1233786.296</v>
      </c>
      <c r="BE22" s="15">
        <f t="shared" si="12"/>
        <v>1221573.4</v>
      </c>
      <c r="BF22" s="15">
        <f t="shared" si="12"/>
        <v>1281698.5999999999</v>
      </c>
      <c r="BG22" s="15">
        <f>SUM(BG23:BG25)</f>
        <v>-500</v>
      </c>
      <c r="BH22" s="15">
        <f>SUM(BH23:BH25)</f>
        <v>0</v>
      </c>
      <c r="BI22" s="15">
        <f t="shared" si="13"/>
        <v>1233286.296</v>
      </c>
      <c r="BJ22" s="15">
        <f t="shared" si="13"/>
        <v>1221573.4</v>
      </c>
      <c r="BK22" s="15">
        <f t="shared" si="14"/>
        <v>1281698.5999999999</v>
      </c>
      <c r="BL22" s="15">
        <f>SUM(BL23:BL25)</f>
        <v>0</v>
      </c>
      <c r="BM22" s="15">
        <f t="shared" si="15"/>
        <v>1233286.296</v>
      </c>
      <c r="BN22" s="15">
        <f>SUM(BN23:BN25)</f>
        <v>1240</v>
      </c>
      <c r="BO22" s="15">
        <f>SUM(BO23:BO25)</f>
        <v>0</v>
      </c>
      <c r="BP22" s="15">
        <f>SUM(BP23:BP25)</f>
        <v>0</v>
      </c>
      <c r="BQ22" s="15">
        <f t="shared" si="16"/>
        <v>1234526.296</v>
      </c>
      <c r="BR22" s="15">
        <f t="shared" si="17"/>
        <v>1221573.4</v>
      </c>
      <c r="BS22" s="15">
        <f t="shared" si="17"/>
        <v>1281698.5999999999</v>
      </c>
      <c r="BT22" s="15">
        <f>SUM(BT23:BT25)</f>
        <v>0</v>
      </c>
      <c r="BU22" s="15">
        <f t="shared" si="23"/>
        <v>1234526.296</v>
      </c>
      <c r="BV22" s="15">
        <f>SUM(BV23:BV25)</f>
        <v>8094.6900000000005</v>
      </c>
      <c r="BW22" s="15">
        <f>SUM(BW23:BW25)</f>
        <v>0</v>
      </c>
      <c r="BX22" s="15">
        <f>SUM(BX23:BX25)</f>
        <v>0</v>
      </c>
      <c r="BY22" s="15">
        <f t="shared" si="18"/>
        <v>1242620.986</v>
      </c>
      <c r="BZ22" s="15">
        <f t="shared" si="19"/>
        <v>1221573.4</v>
      </c>
      <c r="CA22" s="15">
        <f t="shared" si="20"/>
        <v>1281698.5999999999</v>
      </c>
      <c r="CB22" s="15">
        <f>SUM(CB23:CB25)</f>
        <v>0</v>
      </c>
    </row>
    <row r="23" spans="1:80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21"/>
        <v>-205037.3999999999</v>
      </c>
      <c r="F23" s="7">
        <v>950279.5</v>
      </c>
      <c r="G23" s="7">
        <v>1145510</v>
      </c>
      <c r="H23" s="7">
        <f t="shared" si="22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3"/>
        <v>1145149.2</v>
      </c>
      <c r="S23" s="19">
        <f>149733.3</f>
        <v>149733.3</v>
      </c>
      <c r="T23" s="19"/>
      <c r="U23" s="19"/>
      <c r="V23" s="19">
        <f t="shared" si="4"/>
        <v>1100012.8</v>
      </c>
      <c r="W23" s="19">
        <f t="shared" si="5"/>
        <v>1085791.5</v>
      </c>
      <c r="X23" s="19">
        <f t="shared" si="5"/>
        <v>1145149.2</v>
      </c>
      <c r="Y23" s="7"/>
      <c r="Z23" s="7"/>
      <c r="AA23" s="7"/>
      <c r="AB23" s="19">
        <f t="shared" si="6"/>
        <v>1100012.8</v>
      </c>
      <c r="AC23" s="19">
        <f t="shared" si="6"/>
        <v>1085791.5</v>
      </c>
      <c r="AD23" s="19">
        <f t="shared" si="6"/>
        <v>1145149.2</v>
      </c>
      <c r="AE23" s="7">
        <f>2148</f>
        <v>2148</v>
      </c>
      <c r="AF23" s="19">
        <f t="shared" si="7"/>
        <v>1102160.8</v>
      </c>
      <c r="AG23" s="19">
        <f t="shared" si="8"/>
        <v>1085791.5</v>
      </c>
      <c r="AH23" s="19">
        <f t="shared" si="8"/>
        <v>1145149.2</v>
      </c>
      <c r="AI23" s="7"/>
      <c r="AJ23" s="7"/>
      <c r="AK23" s="7"/>
      <c r="AL23" s="19">
        <f t="shared" si="9"/>
        <v>1102160.8</v>
      </c>
      <c r="AM23" s="19">
        <f t="shared" si="9"/>
        <v>1085791.5</v>
      </c>
      <c r="AN23" s="19">
        <f t="shared" si="9"/>
        <v>1145149.2</v>
      </c>
      <c r="AO23" s="7"/>
      <c r="AP23" s="7"/>
      <c r="AQ23" s="7"/>
      <c r="AR23" s="7">
        <f t="shared" si="10"/>
        <v>1102160.8</v>
      </c>
      <c r="AS23" s="7">
        <f t="shared" si="10"/>
        <v>1085791.5</v>
      </c>
      <c r="AT23" s="7">
        <f t="shared" si="10"/>
        <v>1145149.2</v>
      </c>
      <c r="AU23" s="7">
        <f>1638.2+3329.992+929.022+179.152</f>
        <v>6076.366</v>
      </c>
      <c r="AV23" s="7">
        <f>4259.5</f>
        <v>4259.5</v>
      </c>
      <c r="AW23" s="7">
        <f>4740.8</f>
        <v>4740.8</v>
      </c>
      <c r="AX23" s="7">
        <f t="shared" si="11"/>
        <v>1108237.166</v>
      </c>
      <c r="AY23" s="7">
        <f t="shared" si="11"/>
        <v>1090051</v>
      </c>
      <c r="AZ23" s="7">
        <f t="shared" si="11"/>
        <v>1149890</v>
      </c>
      <c r="BA23" s="7"/>
      <c r="BB23" s="7"/>
      <c r="BC23" s="7"/>
      <c r="BD23" s="7">
        <f t="shared" si="12"/>
        <v>1108237.166</v>
      </c>
      <c r="BE23" s="7">
        <f t="shared" si="12"/>
        <v>1090051</v>
      </c>
      <c r="BF23" s="7">
        <f t="shared" si="12"/>
        <v>1149890</v>
      </c>
      <c r="BG23" s="7"/>
      <c r="BH23" s="7"/>
      <c r="BI23" s="7">
        <f t="shared" si="13"/>
        <v>1108237.166</v>
      </c>
      <c r="BJ23" s="7">
        <f t="shared" si="13"/>
        <v>1090051</v>
      </c>
      <c r="BK23" s="7">
        <f t="shared" si="14"/>
        <v>1149890</v>
      </c>
      <c r="BL23" s="7"/>
      <c r="BM23" s="7">
        <f t="shared" si="15"/>
        <v>1108237.166</v>
      </c>
      <c r="BN23" s="7">
        <v>1240</v>
      </c>
      <c r="BO23" s="7"/>
      <c r="BP23" s="7"/>
      <c r="BQ23" s="7">
        <f t="shared" si="16"/>
        <v>1109477.166</v>
      </c>
      <c r="BR23" s="7">
        <f t="shared" si="17"/>
        <v>1090051</v>
      </c>
      <c r="BS23" s="7">
        <f t="shared" si="17"/>
        <v>1149890</v>
      </c>
      <c r="BT23" s="7"/>
      <c r="BU23" s="7">
        <f t="shared" si="23"/>
        <v>1109477.166</v>
      </c>
      <c r="BV23" s="7">
        <f>4999.93+4694.76-1600</f>
        <v>8094.6900000000005</v>
      </c>
      <c r="BW23" s="7"/>
      <c r="BX23" s="7"/>
      <c r="BY23" s="7">
        <f t="shared" si="18"/>
        <v>1117571.856</v>
      </c>
      <c r="BZ23" s="7">
        <f t="shared" si="19"/>
        <v>1090051</v>
      </c>
      <c r="CA23" s="7">
        <f t="shared" si="20"/>
        <v>1149890</v>
      </c>
      <c r="CB23" s="7"/>
    </row>
    <row r="24" spans="1:80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21"/>
        <v>-13162.899999999994</v>
      </c>
      <c r="F24" s="7">
        <v>85054.3</v>
      </c>
      <c r="G24" s="7">
        <v>107439.8</v>
      </c>
      <c r="H24" s="7">
        <f t="shared" si="22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3"/>
        <v>99482.4</v>
      </c>
      <c r="S24" s="19"/>
      <c r="T24" s="19"/>
      <c r="U24" s="19"/>
      <c r="V24" s="19">
        <f t="shared" si="4"/>
        <v>85054.3</v>
      </c>
      <c r="W24" s="19">
        <f t="shared" si="5"/>
        <v>95952.4</v>
      </c>
      <c r="X24" s="19">
        <f t="shared" si="5"/>
        <v>99482.4</v>
      </c>
      <c r="Y24" s="7"/>
      <c r="Z24" s="7"/>
      <c r="AA24" s="7"/>
      <c r="AB24" s="19">
        <f t="shared" si="6"/>
        <v>85054.3</v>
      </c>
      <c r="AC24" s="19">
        <f t="shared" si="6"/>
        <v>95952.4</v>
      </c>
      <c r="AD24" s="19">
        <f t="shared" si="6"/>
        <v>99482.4</v>
      </c>
      <c r="AE24" s="7"/>
      <c r="AF24" s="19">
        <f t="shared" si="7"/>
        <v>85054.3</v>
      </c>
      <c r="AG24" s="19">
        <f t="shared" si="8"/>
        <v>95952.4</v>
      </c>
      <c r="AH24" s="19">
        <f t="shared" si="8"/>
        <v>99482.4</v>
      </c>
      <c r="AI24" s="7">
        <v>303.3</v>
      </c>
      <c r="AJ24" s="7">
        <v>303.3</v>
      </c>
      <c r="AK24" s="7">
        <v>303.3</v>
      </c>
      <c r="AL24" s="19">
        <f t="shared" si="9"/>
        <v>85357.6</v>
      </c>
      <c r="AM24" s="19">
        <f t="shared" si="9"/>
        <v>96255.7</v>
      </c>
      <c r="AN24" s="19">
        <f t="shared" si="9"/>
        <v>99785.7</v>
      </c>
      <c r="AO24" s="7"/>
      <c r="AP24" s="7"/>
      <c r="AQ24" s="7"/>
      <c r="AR24" s="7">
        <f t="shared" si="10"/>
        <v>85357.6</v>
      </c>
      <c r="AS24" s="7">
        <f t="shared" si="10"/>
        <v>96255.7</v>
      </c>
      <c r="AT24" s="7">
        <f t="shared" si="10"/>
        <v>99785.7</v>
      </c>
      <c r="AU24" s="7">
        <f>353.866-3+10275.564</f>
        <v>10626.43</v>
      </c>
      <c r="AV24" s="7">
        <v>-3</v>
      </c>
      <c r="AW24" s="7">
        <v>-3</v>
      </c>
      <c r="AX24" s="7">
        <f t="shared" si="11"/>
        <v>95984.03</v>
      </c>
      <c r="AY24" s="7">
        <f t="shared" si="11"/>
        <v>96252.7</v>
      </c>
      <c r="AZ24" s="7">
        <f t="shared" si="11"/>
        <v>99782.7</v>
      </c>
      <c r="BA24" s="7"/>
      <c r="BB24" s="7"/>
      <c r="BC24" s="7"/>
      <c r="BD24" s="7">
        <f t="shared" si="12"/>
        <v>95984.03</v>
      </c>
      <c r="BE24" s="7">
        <f t="shared" si="12"/>
        <v>96252.7</v>
      </c>
      <c r="BF24" s="7">
        <f t="shared" si="12"/>
        <v>99782.7</v>
      </c>
      <c r="BG24" s="7">
        <v>2000</v>
      </c>
      <c r="BH24" s="7"/>
      <c r="BI24" s="7">
        <f t="shared" si="13"/>
        <v>97984.03</v>
      </c>
      <c r="BJ24" s="7">
        <f t="shared" si="13"/>
        <v>96252.7</v>
      </c>
      <c r="BK24" s="7">
        <f t="shared" si="14"/>
        <v>99782.7</v>
      </c>
      <c r="BL24" s="7"/>
      <c r="BM24" s="7">
        <f t="shared" si="15"/>
        <v>97984.03</v>
      </c>
      <c r="BN24" s="7"/>
      <c r="BO24" s="7"/>
      <c r="BP24" s="7"/>
      <c r="BQ24" s="7">
        <f t="shared" si="16"/>
        <v>97984.03</v>
      </c>
      <c r="BR24" s="7">
        <f t="shared" si="17"/>
        <v>96252.7</v>
      </c>
      <c r="BS24" s="7">
        <f t="shared" si="17"/>
        <v>99782.7</v>
      </c>
      <c r="BT24" s="7"/>
      <c r="BU24" s="7">
        <f t="shared" si="23"/>
        <v>97984.03</v>
      </c>
      <c r="BV24" s="7"/>
      <c r="BW24" s="7"/>
      <c r="BX24" s="7"/>
      <c r="BY24" s="7">
        <f t="shared" si="18"/>
        <v>97984.03</v>
      </c>
      <c r="BZ24" s="7">
        <f t="shared" si="19"/>
        <v>96252.7</v>
      </c>
      <c r="CA24" s="7">
        <f t="shared" si="20"/>
        <v>99782.7</v>
      </c>
      <c r="CB24" s="7"/>
    </row>
    <row r="25" spans="1:80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21"/>
        <v>-2468</v>
      </c>
      <c r="F25" s="7">
        <v>29865.4</v>
      </c>
      <c r="G25" s="7">
        <v>36397.3</v>
      </c>
      <c r="H25" s="7">
        <f t="shared" si="22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3"/>
        <v>32326.2</v>
      </c>
      <c r="S25" s="19"/>
      <c r="T25" s="19"/>
      <c r="U25" s="19"/>
      <c r="V25" s="19">
        <f t="shared" si="4"/>
        <v>29865.4</v>
      </c>
      <c r="W25" s="19">
        <f t="shared" si="5"/>
        <v>35570</v>
      </c>
      <c r="X25" s="19">
        <f t="shared" si="5"/>
        <v>32326.2</v>
      </c>
      <c r="Y25" s="7"/>
      <c r="Z25" s="7"/>
      <c r="AA25" s="7"/>
      <c r="AB25" s="19">
        <f t="shared" si="6"/>
        <v>29865.4</v>
      </c>
      <c r="AC25" s="19">
        <f t="shared" si="6"/>
        <v>35570</v>
      </c>
      <c r="AD25" s="19">
        <f t="shared" si="6"/>
        <v>32326.2</v>
      </c>
      <c r="AE25" s="7"/>
      <c r="AF25" s="19">
        <f t="shared" si="7"/>
        <v>29865.4</v>
      </c>
      <c r="AG25" s="19">
        <f t="shared" si="8"/>
        <v>35570</v>
      </c>
      <c r="AH25" s="19">
        <f t="shared" si="8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9"/>
        <v>29562.100000000002</v>
      </c>
      <c r="AM25" s="19">
        <f t="shared" si="9"/>
        <v>35266.7</v>
      </c>
      <c r="AN25" s="19">
        <f t="shared" si="9"/>
        <v>32022.9</v>
      </c>
      <c r="AO25" s="7"/>
      <c r="AP25" s="7"/>
      <c r="AQ25" s="7"/>
      <c r="AR25" s="7">
        <f t="shared" si="10"/>
        <v>29562.100000000002</v>
      </c>
      <c r="AS25" s="7">
        <f t="shared" si="10"/>
        <v>35266.7</v>
      </c>
      <c r="AT25" s="7">
        <f t="shared" si="10"/>
        <v>32022.9</v>
      </c>
      <c r="AU25" s="7">
        <v>3</v>
      </c>
      <c r="AV25" s="7">
        <v>3</v>
      </c>
      <c r="AW25" s="7">
        <v>3</v>
      </c>
      <c r="AX25" s="7">
        <f t="shared" si="11"/>
        <v>29565.100000000002</v>
      </c>
      <c r="AY25" s="7">
        <f t="shared" si="11"/>
        <v>35269.7</v>
      </c>
      <c r="AZ25" s="7">
        <f t="shared" si="11"/>
        <v>32025.9</v>
      </c>
      <c r="BA25" s="7"/>
      <c r="BB25" s="7"/>
      <c r="BC25" s="7"/>
      <c r="BD25" s="7">
        <f t="shared" si="12"/>
        <v>29565.100000000002</v>
      </c>
      <c r="BE25" s="7">
        <f t="shared" si="12"/>
        <v>35269.7</v>
      </c>
      <c r="BF25" s="7">
        <f t="shared" si="12"/>
        <v>32025.9</v>
      </c>
      <c r="BG25" s="7">
        <v>-2500</v>
      </c>
      <c r="BH25" s="7"/>
      <c r="BI25" s="7">
        <f t="shared" si="13"/>
        <v>27065.100000000002</v>
      </c>
      <c r="BJ25" s="7">
        <f t="shared" si="13"/>
        <v>35269.7</v>
      </c>
      <c r="BK25" s="7">
        <f t="shared" si="14"/>
        <v>32025.9</v>
      </c>
      <c r="BL25" s="7"/>
      <c r="BM25" s="7">
        <f t="shared" si="15"/>
        <v>27065.100000000002</v>
      </c>
      <c r="BN25" s="7"/>
      <c r="BO25" s="7"/>
      <c r="BP25" s="7"/>
      <c r="BQ25" s="7">
        <f t="shared" si="16"/>
        <v>27065.100000000002</v>
      </c>
      <c r="BR25" s="7">
        <f t="shared" si="17"/>
        <v>35269.7</v>
      </c>
      <c r="BS25" s="7">
        <f t="shared" si="17"/>
        <v>32025.9</v>
      </c>
      <c r="BT25" s="7"/>
      <c r="BU25" s="7">
        <f t="shared" si="23"/>
        <v>27065.100000000002</v>
      </c>
      <c r="BV25" s="7"/>
      <c r="BW25" s="7"/>
      <c r="BX25" s="7"/>
      <c r="BY25" s="7">
        <f t="shared" si="18"/>
        <v>27065.100000000002</v>
      </c>
      <c r="BZ25" s="7">
        <f t="shared" si="19"/>
        <v>35269.7</v>
      </c>
      <c r="CA25" s="7">
        <f t="shared" si="20"/>
        <v>32025.9</v>
      </c>
      <c r="CB25" s="7"/>
    </row>
    <row r="26" spans="1:80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21"/>
        <v>405496.80000000005</v>
      </c>
      <c r="F26" s="15">
        <f>SUM(F27:F29)</f>
        <v>1090119.1</v>
      </c>
      <c r="G26" s="15">
        <f>SUM(G27:G29)</f>
        <v>417591.95</v>
      </c>
      <c r="H26" s="15">
        <f t="shared" si="22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3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4"/>
        <v>999339.1000000001</v>
      </c>
      <c r="W26" s="18">
        <f t="shared" si="5"/>
        <v>999075.3</v>
      </c>
      <c r="X26" s="18">
        <f t="shared" si="5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6"/>
        <v>985406.0000000001</v>
      </c>
      <c r="AC26" s="18">
        <f t="shared" si="6"/>
        <v>999075.3</v>
      </c>
      <c r="AD26" s="18">
        <f t="shared" si="6"/>
        <v>1045978.3</v>
      </c>
      <c r="AE26" s="15">
        <f>SUM(AE27:AE29)</f>
        <v>-2148</v>
      </c>
      <c r="AF26" s="18">
        <f t="shared" si="7"/>
        <v>983258.0000000001</v>
      </c>
      <c r="AG26" s="18">
        <f t="shared" si="8"/>
        <v>999075.3</v>
      </c>
      <c r="AH26" s="18">
        <f t="shared" si="8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9"/>
        <v>983258.0000000001</v>
      </c>
      <c r="AM26" s="18">
        <f t="shared" si="9"/>
        <v>999075.3</v>
      </c>
      <c r="AN26" s="18">
        <f t="shared" si="9"/>
        <v>1045978.3</v>
      </c>
      <c r="AO26" s="15">
        <f>SUM(AO27:AO29)</f>
        <v>0</v>
      </c>
      <c r="AP26" s="15">
        <f>SUM(AP27:AP29)</f>
        <v>0</v>
      </c>
      <c r="AQ26" s="15">
        <f>SUM(AQ27:AQ29)</f>
        <v>0</v>
      </c>
      <c r="AR26" s="15">
        <f t="shared" si="10"/>
        <v>983258.0000000001</v>
      </c>
      <c r="AS26" s="15">
        <f t="shared" si="10"/>
        <v>999075.3</v>
      </c>
      <c r="AT26" s="15">
        <f t="shared" si="10"/>
        <v>1045978.3</v>
      </c>
      <c r="AU26" s="15">
        <f>SUM(AU27:AU29)</f>
        <v>456902.134</v>
      </c>
      <c r="AV26" s="15">
        <f>SUM(AV27:AV29)</f>
        <v>-44677.29999999999</v>
      </c>
      <c r="AW26" s="15">
        <f>SUM(AW27:AW29)</f>
        <v>39116.30000000001</v>
      </c>
      <c r="AX26" s="15">
        <f t="shared" si="11"/>
        <v>1440160.134</v>
      </c>
      <c r="AY26" s="15">
        <f t="shared" si="11"/>
        <v>954398</v>
      </c>
      <c r="AZ26" s="15">
        <f t="shared" si="11"/>
        <v>1085094.6</v>
      </c>
      <c r="BA26" s="15">
        <f>SUM(BA27:BA29)</f>
        <v>0</v>
      </c>
      <c r="BB26" s="15">
        <f>SUM(BB27:BB29)</f>
        <v>0</v>
      </c>
      <c r="BC26" s="15">
        <f>SUM(BC27:BC29)</f>
        <v>0</v>
      </c>
      <c r="BD26" s="15">
        <f t="shared" si="12"/>
        <v>1440160.134</v>
      </c>
      <c r="BE26" s="15">
        <f t="shared" si="12"/>
        <v>954398</v>
      </c>
      <c r="BF26" s="15">
        <f t="shared" si="12"/>
        <v>1085094.6</v>
      </c>
      <c r="BG26" s="15">
        <f>SUM(BG27:BG29)</f>
        <v>-90828.8</v>
      </c>
      <c r="BH26" s="15">
        <f>SUM(BH27:BH29)</f>
        <v>0</v>
      </c>
      <c r="BI26" s="15">
        <f t="shared" si="13"/>
        <v>1349331.334</v>
      </c>
      <c r="BJ26" s="15">
        <f t="shared" si="13"/>
        <v>954398</v>
      </c>
      <c r="BK26" s="15">
        <f t="shared" si="14"/>
        <v>1085094.6</v>
      </c>
      <c r="BL26" s="15">
        <f>SUM(BL27:BL29)</f>
        <v>0</v>
      </c>
      <c r="BM26" s="15">
        <f t="shared" si="15"/>
        <v>1349331.334</v>
      </c>
      <c r="BN26" s="15">
        <f>SUM(BN27:BN29)</f>
        <v>-7736.859</v>
      </c>
      <c r="BO26" s="15">
        <f>SUM(BO27:BO29)</f>
        <v>0</v>
      </c>
      <c r="BP26" s="15">
        <f>SUM(BP27:BP29)</f>
        <v>0</v>
      </c>
      <c r="BQ26" s="15">
        <f t="shared" si="16"/>
        <v>1341594.475</v>
      </c>
      <c r="BR26" s="15">
        <f t="shared" si="17"/>
        <v>954398</v>
      </c>
      <c r="BS26" s="15">
        <f t="shared" si="17"/>
        <v>1085094.6</v>
      </c>
      <c r="BT26" s="15">
        <f>SUM(BT27:BT29)</f>
        <v>0</v>
      </c>
      <c r="BU26" s="15">
        <f t="shared" si="23"/>
        <v>1341594.475</v>
      </c>
      <c r="BV26" s="15">
        <f>SUM(BV27:BV29)</f>
        <v>-202447.87</v>
      </c>
      <c r="BW26" s="15">
        <f>SUM(BW27:BW29)</f>
        <v>104706.3</v>
      </c>
      <c r="BX26" s="15">
        <f>SUM(BX27:BX29)</f>
        <v>0</v>
      </c>
      <c r="BY26" s="15">
        <f t="shared" si="18"/>
        <v>1139146.605</v>
      </c>
      <c r="BZ26" s="15">
        <f t="shared" si="19"/>
        <v>1059104.3</v>
      </c>
      <c r="CA26" s="15">
        <f t="shared" si="20"/>
        <v>1085094.6</v>
      </c>
      <c r="CB26" s="15">
        <f>SUM(CB27:CB29)</f>
        <v>0</v>
      </c>
    </row>
    <row r="27" spans="1:80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21"/>
        <v>-2721.100000000002</v>
      </c>
      <c r="F27" s="7">
        <v>24663.1</v>
      </c>
      <c r="G27" s="7">
        <v>22788.2</v>
      </c>
      <c r="H27" s="7">
        <f t="shared" si="22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3"/>
        <v>20122</v>
      </c>
      <c r="S27" s="19"/>
      <c r="T27" s="19"/>
      <c r="U27" s="19"/>
      <c r="V27" s="19">
        <f t="shared" si="4"/>
        <v>24663.1</v>
      </c>
      <c r="W27" s="19">
        <f t="shared" si="5"/>
        <v>20122</v>
      </c>
      <c r="X27" s="19">
        <f t="shared" si="5"/>
        <v>20122</v>
      </c>
      <c r="Y27" s="7"/>
      <c r="Z27" s="7"/>
      <c r="AA27" s="7"/>
      <c r="AB27" s="19">
        <f t="shared" si="6"/>
        <v>24663.1</v>
      </c>
      <c r="AC27" s="19">
        <f t="shared" si="6"/>
        <v>20122</v>
      </c>
      <c r="AD27" s="19">
        <f t="shared" si="6"/>
        <v>20122</v>
      </c>
      <c r="AE27" s="7"/>
      <c r="AF27" s="19">
        <f t="shared" si="7"/>
        <v>24663.1</v>
      </c>
      <c r="AG27" s="19">
        <f t="shared" si="8"/>
        <v>20122</v>
      </c>
      <c r="AH27" s="19">
        <f t="shared" si="8"/>
        <v>20122</v>
      </c>
      <c r="AI27" s="7"/>
      <c r="AJ27" s="7"/>
      <c r="AK27" s="7"/>
      <c r="AL27" s="19">
        <f t="shared" si="9"/>
        <v>24663.1</v>
      </c>
      <c r="AM27" s="19">
        <f t="shared" si="9"/>
        <v>20122</v>
      </c>
      <c r="AN27" s="19">
        <f t="shared" si="9"/>
        <v>20122</v>
      </c>
      <c r="AO27" s="7"/>
      <c r="AP27" s="7"/>
      <c r="AQ27" s="7"/>
      <c r="AR27" s="7">
        <f t="shared" si="10"/>
        <v>24663.1</v>
      </c>
      <c r="AS27" s="7">
        <f t="shared" si="10"/>
        <v>20122</v>
      </c>
      <c r="AT27" s="7">
        <f t="shared" si="10"/>
        <v>20122</v>
      </c>
      <c r="AU27" s="7">
        <v>12900</v>
      </c>
      <c r="AV27" s="7"/>
      <c r="AW27" s="7"/>
      <c r="AX27" s="7">
        <f t="shared" si="11"/>
        <v>37563.1</v>
      </c>
      <c r="AY27" s="7">
        <f t="shared" si="11"/>
        <v>20122</v>
      </c>
      <c r="AZ27" s="7">
        <f t="shared" si="11"/>
        <v>20122</v>
      </c>
      <c r="BA27" s="7"/>
      <c r="BB27" s="7"/>
      <c r="BC27" s="7"/>
      <c r="BD27" s="7">
        <f t="shared" si="12"/>
        <v>37563.1</v>
      </c>
      <c r="BE27" s="7">
        <f t="shared" si="12"/>
        <v>20122</v>
      </c>
      <c r="BF27" s="7">
        <f t="shared" si="12"/>
        <v>20122</v>
      </c>
      <c r="BG27" s="7"/>
      <c r="BH27" s="7"/>
      <c r="BI27" s="7">
        <f t="shared" si="13"/>
        <v>37563.1</v>
      </c>
      <c r="BJ27" s="7">
        <f t="shared" si="13"/>
        <v>20122</v>
      </c>
      <c r="BK27" s="7">
        <f t="shared" si="14"/>
        <v>20122</v>
      </c>
      <c r="BL27" s="7"/>
      <c r="BM27" s="7">
        <f t="shared" si="15"/>
        <v>37563.1</v>
      </c>
      <c r="BN27" s="7"/>
      <c r="BO27" s="7"/>
      <c r="BP27" s="7"/>
      <c r="BQ27" s="7">
        <f t="shared" si="16"/>
        <v>37563.1</v>
      </c>
      <c r="BR27" s="7">
        <f t="shared" si="17"/>
        <v>20122</v>
      </c>
      <c r="BS27" s="7">
        <f t="shared" si="17"/>
        <v>20122</v>
      </c>
      <c r="BT27" s="7"/>
      <c r="BU27" s="7">
        <f t="shared" si="23"/>
        <v>37563.1</v>
      </c>
      <c r="BV27" s="7"/>
      <c r="BW27" s="7"/>
      <c r="BX27" s="7"/>
      <c r="BY27" s="7">
        <f t="shared" si="18"/>
        <v>37563.1</v>
      </c>
      <c r="BZ27" s="7">
        <f t="shared" si="19"/>
        <v>20122</v>
      </c>
      <c r="CA27" s="7">
        <f t="shared" si="20"/>
        <v>20122</v>
      </c>
      <c r="CB27" s="7"/>
    </row>
    <row r="28" spans="1:80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21"/>
        <v>226497.3</v>
      </c>
      <c r="F28" s="7">
        <v>550586.6</v>
      </c>
      <c r="G28" s="7">
        <v>207217.94</v>
      </c>
      <c r="H28" s="7">
        <f t="shared" si="22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3"/>
        <v>645502</v>
      </c>
      <c r="S28" s="19"/>
      <c r="T28" s="19"/>
      <c r="U28" s="19"/>
      <c r="V28" s="19">
        <f t="shared" si="4"/>
        <v>550586.6</v>
      </c>
      <c r="W28" s="19">
        <f t="shared" si="5"/>
        <v>649051.8</v>
      </c>
      <c r="X28" s="19">
        <f t="shared" si="5"/>
        <v>645502</v>
      </c>
      <c r="Y28" s="7"/>
      <c r="Z28" s="7"/>
      <c r="AA28" s="7"/>
      <c r="AB28" s="19">
        <f t="shared" si="6"/>
        <v>550586.6</v>
      </c>
      <c r="AC28" s="19">
        <f t="shared" si="6"/>
        <v>649051.8</v>
      </c>
      <c r="AD28" s="19">
        <f t="shared" si="6"/>
        <v>645502</v>
      </c>
      <c r="AE28" s="7">
        <f>24667.5-24667.5-2148</f>
        <v>-2148</v>
      </c>
      <c r="AF28" s="19">
        <f t="shared" si="7"/>
        <v>548438.6</v>
      </c>
      <c r="AG28" s="19">
        <f t="shared" si="8"/>
        <v>649051.8</v>
      </c>
      <c r="AH28" s="19">
        <f t="shared" si="8"/>
        <v>645502</v>
      </c>
      <c r="AI28" s="7"/>
      <c r="AJ28" s="7"/>
      <c r="AK28" s="7"/>
      <c r="AL28" s="19">
        <f t="shared" si="9"/>
        <v>548438.6</v>
      </c>
      <c r="AM28" s="19">
        <f t="shared" si="9"/>
        <v>649051.8</v>
      </c>
      <c r="AN28" s="19">
        <f t="shared" si="9"/>
        <v>645502</v>
      </c>
      <c r="AO28" s="7"/>
      <c r="AP28" s="7"/>
      <c r="AQ28" s="7"/>
      <c r="AR28" s="7">
        <f t="shared" si="10"/>
        <v>548438.6</v>
      </c>
      <c r="AS28" s="7">
        <f t="shared" si="10"/>
        <v>649051.8</v>
      </c>
      <c r="AT28" s="7">
        <f t="shared" si="10"/>
        <v>645502</v>
      </c>
      <c r="AU28" s="7">
        <f>-44300-65000-2627.7-59087.2+583.117+19.867+244688.6+25000+192209.8+8493.2+99979.7</f>
        <v>399959.384</v>
      </c>
      <c r="AV28" s="7">
        <f>-49837.5-73125-2627.7-68889.6+99965</f>
        <v>-94514.79999999999</v>
      </c>
      <c r="AW28" s="7">
        <f>-55469.1-2627.7-76674.1+118418.1</f>
        <v>-16352.799999999988</v>
      </c>
      <c r="AX28" s="7">
        <f t="shared" si="11"/>
        <v>948397.9839999999</v>
      </c>
      <c r="AY28" s="7">
        <f t="shared" si="11"/>
        <v>554537</v>
      </c>
      <c r="AZ28" s="7">
        <f t="shared" si="11"/>
        <v>629149.2</v>
      </c>
      <c r="BA28" s="7"/>
      <c r="BB28" s="7"/>
      <c r="BC28" s="7"/>
      <c r="BD28" s="7">
        <f t="shared" si="12"/>
        <v>948397.9839999999</v>
      </c>
      <c r="BE28" s="7">
        <f t="shared" si="12"/>
        <v>554537</v>
      </c>
      <c r="BF28" s="7">
        <f t="shared" si="12"/>
        <v>629149.2</v>
      </c>
      <c r="BG28" s="7"/>
      <c r="BH28" s="7"/>
      <c r="BI28" s="7">
        <f t="shared" si="13"/>
        <v>948397.9839999999</v>
      </c>
      <c r="BJ28" s="7">
        <f t="shared" si="13"/>
        <v>554537</v>
      </c>
      <c r="BK28" s="7">
        <f t="shared" si="14"/>
        <v>629149.2</v>
      </c>
      <c r="BL28" s="7"/>
      <c r="BM28" s="7">
        <f t="shared" si="15"/>
        <v>948397.9839999999</v>
      </c>
      <c r="BN28" s="7"/>
      <c r="BO28" s="7"/>
      <c r="BP28" s="7"/>
      <c r="BQ28" s="7">
        <f t="shared" si="16"/>
        <v>948397.9839999999</v>
      </c>
      <c r="BR28" s="7">
        <f t="shared" si="17"/>
        <v>554537</v>
      </c>
      <c r="BS28" s="7">
        <f t="shared" si="17"/>
        <v>629149.2</v>
      </c>
      <c r="BT28" s="7"/>
      <c r="BU28" s="7">
        <f t="shared" si="23"/>
        <v>948397.9839999999</v>
      </c>
      <c r="BV28" s="7">
        <f>-4694.76-7000-1000</f>
        <v>-12694.76</v>
      </c>
      <c r="BW28" s="7"/>
      <c r="BX28" s="7"/>
      <c r="BY28" s="7">
        <f t="shared" si="18"/>
        <v>935703.2239999999</v>
      </c>
      <c r="BZ28" s="7">
        <f t="shared" si="19"/>
        <v>554537</v>
      </c>
      <c r="CA28" s="7">
        <f t="shared" si="20"/>
        <v>629149.2</v>
      </c>
      <c r="CB28" s="7"/>
    </row>
    <row r="29" spans="1:80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21"/>
        <v>181720.60000000003</v>
      </c>
      <c r="F29" s="7">
        <v>514869.4</v>
      </c>
      <c r="G29" s="7">
        <v>187585.81</v>
      </c>
      <c r="H29" s="7">
        <f t="shared" si="22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3"/>
        <v>380354.3</v>
      </c>
      <c r="S29" s="19"/>
      <c r="T29" s="19"/>
      <c r="U29" s="19"/>
      <c r="V29" s="19">
        <f t="shared" si="4"/>
        <v>424089.4</v>
      </c>
      <c r="W29" s="19">
        <f t="shared" si="5"/>
        <v>329901.5</v>
      </c>
      <c r="X29" s="19">
        <f t="shared" si="5"/>
        <v>380354.3</v>
      </c>
      <c r="Y29" s="7">
        <f>-4200-9733.1</f>
        <v>-13933.1</v>
      </c>
      <c r="Z29" s="7"/>
      <c r="AA29" s="7"/>
      <c r="AB29" s="19">
        <f t="shared" si="6"/>
        <v>410156.30000000005</v>
      </c>
      <c r="AC29" s="19">
        <f t="shared" si="6"/>
        <v>329901.5</v>
      </c>
      <c r="AD29" s="19">
        <f t="shared" si="6"/>
        <v>380354.3</v>
      </c>
      <c r="AE29" s="7"/>
      <c r="AF29" s="19">
        <f t="shared" si="7"/>
        <v>410156.30000000005</v>
      </c>
      <c r="AG29" s="19">
        <f t="shared" si="8"/>
        <v>329901.5</v>
      </c>
      <c r="AH29" s="19">
        <f t="shared" si="8"/>
        <v>380354.3</v>
      </c>
      <c r="AI29" s="7"/>
      <c r="AJ29" s="7"/>
      <c r="AK29" s="7"/>
      <c r="AL29" s="19">
        <f t="shared" si="9"/>
        <v>410156.30000000005</v>
      </c>
      <c r="AM29" s="19">
        <f t="shared" si="9"/>
        <v>329901.5</v>
      </c>
      <c r="AN29" s="19">
        <f t="shared" si="9"/>
        <v>380354.3</v>
      </c>
      <c r="AO29" s="7"/>
      <c r="AP29" s="7"/>
      <c r="AQ29" s="7"/>
      <c r="AR29" s="7">
        <f t="shared" si="10"/>
        <v>410156.30000000005</v>
      </c>
      <c r="AS29" s="7">
        <f t="shared" si="10"/>
        <v>329901.5</v>
      </c>
      <c r="AT29" s="7">
        <f t="shared" si="10"/>
        <v>380354.3</v>
      </c>
      <c r="AU29" s="7">
        <f>44300-2605.7+1031.127+750+2.723+47+290.8+226.8</f>
        <v>44042.75000000001</v>
      </c>
      <c r="AV29" s="7">
        <f>49837.5</f>
        <v>49837.5</v>
      </c>
      <c r="AW29" s="7">
        <f>55469.1</f>
        <v>55469.1</v>
      </c>
      <c r="AX29" s="7">
        <f t="shared" si="11"/>
        <v>454199.05000000005</v>
      </c>
      <c r="AY29" s="7">
        <f t="shared" si="11"/>
        <v>379739</v>
      </c>
      <c r="AZ29" s="7">
        <f t="shared" si="11"/>
        <v>435823.39999999997</v>
      </c>
      <c r="BA29" s="7"/>
      <c r="BB29" s="7"/>
      <c r="BC29" s="7"/>
      <c r="BD29" s="7">
        <f t="shared" si="12"/>
        <v>454199.05000000005</v>
      </c>
      <c r="BE29" s="7">
        <f t="shared" si="12"/>
        <v>379739</v>
      </c>
      <c r="BF29" s="7">
        <f t="shared" si="12"/>
        <v>435823.39999999997</v>
      </c>
      <c r="BG29" s="7">
        <f>-828.8-90000</f>
        <v>-90828.8</v>
      </c>
      <c r="BH29" s="7"/>
      <c r="BI29" s="7">
        <f t="shared" si="13"/>
        <v>363370.25000000006</v>
      </c>
      <c r="BJ29" s="7">
        <f t="shared" si="13"/>
        <v>379739</v>
      </c>
      <c r="BK29" s="7">
        <f t="shared" si="14"/>
        <v>435823.39999999997</v>
      </c>
      <c r="BL29" s="7"/>
      <c r="BM29" s="7">
        <f t="shared" si="15"/>
        <v>363370.25000000006</v>
      </c>
      <c r="BN29" s="7">
        <f>-1301.007-100-20.1-4365.752-1950</f>
        <v>-7736.859</v>
      </c>
      <c r="BO29" s="7"/>
      <c r="BP29" s="7"/>
      <c r="BQ29" s="7">
        <f t="shared" si="16"/>
        <v>355633.39100000006</v>
      </c>
      <c r="BR29" s="7">
        <f t="shared" si="17"/>
        <v>379739</v>
      </c>
      <c r="BS29" s="7">
        <f t="shared" si="17"/>
        <v>435823.39999999997</v>
      </c>
      <c r="BT29" s="7"/>
      <c r="BU29" s="7">
        <f t="shared" si="23"/>
        <v>355633.39100000006</v>
      </c>
      <c r="BV29" s="7">
        <f>-14788.32-603.127-201.53-4983-7952-44300-4300.949-15762.848-96754.3-107.036</f>
        <v>-189753.11</v>
      </c>
      <c r="BW29" s="7">
        <f>7952+96754.3</f>
        <v>104706.3</v>
      </c>
      <c r="BX29" s="7"/>
      <c r="BY29" s="7">
        <f t="shared" si="18"/>
        <v>165880.28100000008</v>
      </c>
      <c r="BZ29" s="7">
        <f t="shared" si="19"/>
        <v>484445.3</v>
      </c>
      <c r="CA29" s="7">
        <f t="shared" si="20"/>
        <v>435823.39999999997</v>
      </c>
      <c r="CB29" s="7"/>
    </row>
    <row r="30" spans="1:80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21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22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3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4"/>
        <v>4106966.4999999995</v>
      </c>
      <c r="W30" s="18">
        <f t="shared" si="5"/>
        <v>3638059.6999999997</v>
      </c>
      <c r="X30" s="18">
        <f t="shared" si="5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6"/>
        <v>4106966.4999999995</v>
      </c>
      <c r="AC30" s="18">
        <f t="shared" si="6"/>
        <v>3638059.6999999997</v>
      </c>
      <c r="AD30" s="18">
        <f t="shared" si="6"/>
        <v>3659125.8000000003</v>
      </c>
      <c r="AE30" s="15">
        <f>SUM(AE31:AE34)</f>
        <v>0</v>
      </c>
      <c r="AF30" s="18">
        <f t="shared" si="7"/>
        <v>4106966.4999999995</v>
      </c>
      <c r="AG30" s="18">
        <f t="shared" si="8"/>
        <v>3638059.6999999997</v>
      </c>
      <c r="AH30" s="18">
        <f t="shared" si="8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9"/>
        <v>4106966.4999999995</v>
      </c>
      <c r="AM30" s="18">
        <f t="shared" si="9"/>
        <v>3638059.6999999997</v>
      </c>
      <c r="AN30" s="18">
        <f t="shared" si="9"/>
        <v>3659125.8000000003</v>
      </c>
      <c r="AO30" s="15">
        <f>SUM(AO31:AO34)</f>
        <v>0</v>
      </c>
      <c r="AP30" s="15">
        <f>SUM(AP31:AP34)</f>
        <v>0</v>
      </c>
      <c r="AQ30" s="15">
        <f>SUM(AQ31:AQ34)</f>
        <v>0</v>
      </c>
      <c r="AR30" s="15">
        <f t="shared" si="10"/>
        <v>4106966.4999999995</v>
      </c>
      <c r="AS30" s="15">
        <f t="shared" si="10"/>
        <v>3638059.6999999997</v>
      </c>
      <c r="AT30" s="15">
        <f t="shared" si="10"/>
        <v>3659125.8000000003</v>
      </c>
      <c r="AU30" s="15">
        <f>SUM(AU31:AU34)</f>
        <v>873882.8339999999</v>
      </c>
      <c r="AV30" s="15">
        <f>SUM(AV31:AV34)</f>
        <v>140382.8</v>
      </c>
      <c r="AW30" s="15">
        <f>SUM(AW31:AW34)</f>
        <v>74561</v>
      </c>
      <c r="AX30" s="15">
        <f t="shared" si="11"/>
        <v>4980849.334</v>
      </c>
      <c r="AY30" s="15">
        <f t="shared" si="11"/>
        <v>3778442.4999999995</v>
      </c>
      <c r="AZ30" s="15">
        <f t="shared" si="11"/>
        <v>3733686.8000000003</v>
      </c>
      <c r="BA30" s="15">
        <f>SUM(BA31:BA34)</f>
        <v>0</v>
      </c>
      <c r="BB30" s="15">
        <f>SUM(BB31:BB34)</f>
        <v>0</v>
      </c>
      <c r="BC30" s="15">
        <f>SUM(BC31:BC34)</f>
        <v>0</v>
      </c>
      <c r="BD30" s="15">
        <f t="shared" si="12"/>
        <v>4980849.334</v>
      </c>
      <c r="BE30" s="15">
        <f t="shared" si="12"/>
        <v>3778442.4999999995</v>
      </c>
      <c r="BF30" s="15">
        <f t="shared" si="12"/>
        <v>3733686.8000000003</v>
      </c>
      <c r="BG30" s="15">
        <f>SUM(BG31:BG34)</f>
        <v>662969.0560000001</v>
      </c>
      <c r="BH30" s="15">
        <f>SUM(BH31:BH34)</f>
        <v>0</v>
      </c>
      <c r="BI30" s="15">
        <f t="shared" si="13"/>
        <v>5643818.39</v>
      </c>
      <c r="BJ30" s="15">
        <f t="shared" si="13"/>
        <v>3778442.4999999995</v>
      </c>
      <c r="BK30" s="15">
        <f t="shared" si="14"/>
        <v>3733686.8000000003</v>
      </c>
      <c r="BL30" s="15">
        <f>SUM(BL31:BL34)</f>
        <v>0</v>
      </c>
      <c r="BM30" s="15">
        <f t="shared" si="15"/>
        <v>5643818.39</v>
      </c>
      <c r="BN30" s="15">
        <f>SUM(BN31:BN34)</f>
        <v>-36932.83900000001</v>
      </c>
      <c r="BO30" s="15">
        <f>SUM(BO31:BO34)</f>
        <v>-600.8</v>
      </c>
      <c r="BP30" s="15">
        <f>SUM(BP31:BP34)</f>
        <v>-600.8</v>
      </c>
      <c r="BQ30" s="15">
        <f t="shared" si="16"/>
        <v>5606885.551</v>
      </c>
      <c r="BR30" s="15">
        <f t="shared" si="17"/>
        <v>3777841.6999999997</v>
      </c>
      <c r="BS30" s="15">
        <f t="shared" si="17"/>
        <v>3733086.0000000005</v>
      </c>
      <c r="BT30" s="15">
        <f>SUM(BT31:BT34)</f>
        <v>481055</v>
      </c>
      <c r="BU30" s="15">
        <f t="shared" si="23"/>
        <v>6087940.551</v>
      </c>
      <c r="BV30" s="15">
        <f>SUM(BV31:BV34)</f>
        <v>-180530.46899999998</v>
      </c>
      <c r="BW30" s="15">
        <f>SUM(BW31:BW34)</f>
        <v>132132.824</v>
      </c>
      <c r="BX30" s="15">
        <f>SUM(BX31:BX34)</f>
        <v>0</v>
      </c>
      <c r="BY30" s="15">
        <f t="shared" si="18"/>
        <v>5907410.082</v>
      </c>
      <c r="BZ30" s="15">
        <f t="shared" si="19"/>
        <v>3909974.5239999997</v>
      </c>
      <c r="CA30" s="15">
        <f t="shared" si="20"/>
        <v>3733086.0000000005</v>
      </c>
      <c r="CB30" s="15">
        <f>SUM(CB31:CB34)</f>
        <v>0</v>
      </c>
    </row>
    <row r="31" spans="1:80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21"/>
        <v>-57714.09999999998</v>
      </c>
      <c r="F31" s="7">
        <v>989504.9</v>
      </c>
      <c r="G31" s="7">
        <v>198923</v>
      </c>
      <c r="H31" s="7">
        <f t="shared" si="22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3"/>
        <v>426429.8</v>
      </c>
      <c r="S31" s="19"/>
      <c r="T31" s="19"/>
      <c r="U31" s="19"/>
      <c r="V31" s="19">
        <f t="shared" si="4"/>
        <v>990054.9</v>
      </c>
      <c r="W31" s="19">
        <f t="shared" si="5"/>
        <v>431950.2</v>
      </c>
      <c r="X31" s="19">
        <f t="shared" si="5"/>
        <v>426429.8</v>
      </c>
      <c r="Y31" s="7"/>
      <c r="Z31" s="7"/>
      <c r="AA31" s="7"/>
      <c r="AB31" s="19">
        <f t="shared" si="6"/>
        <v>990054.9</v>
      </c>
      <c r="AC31" s="19">
        <f t="shared" si="6"/>
        <v>431950.2</v>
      </c>
      <c r="AD31" s="19">
        <f t="shared" si="6"/>
        <v>426429.8</v>
      </c>
      <c r="AE31" s="7"/>
      <c r="AF31" s="19">
        <f t="shared" si="7"/>
        <v>990054.9</v>
      </c>
      <c r="AG31" s="19">
        <f t="shared" si="8"/>
        <v>431950.2</v>
      </c>
      <c r="AH31" s="19">
        <f t="shared" si="8"/>
        <v>426429.8</v>
      </c>
      <c r="AI31" s="7"/>
      <c r="AJ31" s="7"/>
      <c r="AK31" s="7"/>
      <c r="AL31" s="19">
        <f t="shared" si="9"/>
        <v>990054.9</v>
      </c>
      <c r="AM31" s="19">
        <f t="shared" si="9"/>
        <v>431950.2</v>
      </c>
      <c r="AN31" s="19">
        <f t="shared" si="9"/>
        <v>426429.8</v>
      </c>
      <c r="AO31" s="7"/>
      <c r="AP31" s="7"/>
      <c r="AQ31" s="7"/>
      <c r="AR31" s="7">
        <f t="shared" si="10"/>
        <v>990054.9</v>
      </c>
      <c r="AS31" s="7">
        <f t="shared" si="10"/>
        <v>431950.2</v>
      </c>
      <c r="AT31" s="7">
        <f t="shared" si="10"/>
        <v>426429.8</v>
      </c>
      <c r="AU31" s="7">
        <f>-142.9+12371.201+37.187+712.589+1535.778+94.042+418.558+3253.793+1622.841+305.993+186.706+56.177+57.942+21.224+299.7-19533.035-15620.1+75000+43754+42742.419</f>
        <v>147174.115</v>
      </c>
      <c r="AV31" s="7">
        <f>-14922.9-16650.1</f>
        <v>-31573</v>
      </c>
      <c r="AW31" s="7">
        <f>-15175.4-16814.5</f>
        <v>-31989.9</v>
      </c>
      <c r="AX31" s="7">
        <f t="shared" si="11"/>
        <v>1137229.0150000001</v>
      </c>
      <c r="AY31" s="7">
        <f t="shared" si="11"/>
        <v>400377.2</v>
      </c>
      <c r="AZ31" s="7">
        <f t="shared" si="11"/>
        <v>394439.89999999997</v>
      </c>
      <c r="BA31" s="7"/>
      <c r="BB31" s="7"/>
      <c r="BC31" s="7"/>
      <c r="BD31" s="7">
        <f t="shared" si="12"/>
        <v>1137229.0150000001</v>
      </c>
      <c r="BE31" s="7">
        <f t="shared" si="12"/>
        <v>400377.2</v>
      </c>
      <c r="BF31" s="7">
        <f t="shared" si="12"/>
        <v>394439.89999999997</v>
      </c>
      <c r="BG31" s="7">
        <f>494742.676+78226.38-20+8938.616</f>
        <v>581887.672</v>
      </c>
      <c r="BH31" s="7"/>
      <c r="BI31" s="7">
        <f t="shared" si="13"/>
        <v>1719116.6870000002</v>
      </c>
      <c r="BJ31" s="7">
        <f t="shared" si="13"/>
        <v>400377.2</v>
      </c>
      <c r="BK31" s="7">
        <f t="shared" si="14"/>
        <v>394439.89999999997</v>
      </c>
      <c r="BL31" s="7"/>
      <c r="BM31" s="7">
        <f t="shared" si="15"/>
        <v>1719116.6870000002</v>
      </c>
      <c r="BN31" s="7">
        <f>-170.79+127.431+10767.513+97.088-42742.419</f>
        <v>-31921.177000000003</v>
      </c>
      <c r="BO31" s="7"/>
      <c r="BP31" s="7"/>
      <c r="BQ31" s="7">
        <f t="shared" si="16"/>
        <v>1687195.5100000002</v>
      </c>
      <c r="BR31" s="7">
        <f t="shared" si="17"/>
        <v>400377.2</v>
      </c>
      <c r="BS31" s="7">
        <f t="shared" si="17"/>
        <v>394439.89999999997</v>
      </c>
      <c r="BT31" s="7"/>
      <c r="BU31" s="7">
        <f t="shared" si="23"/>
        <v>1687195.5100000002</v>
      </c>
      <c r="BV31" s="7">
        <f>-16000-5412.148-25000</f>
        <v>-46412.148</v>
      </c>
      <c r="BW31" s="7">
        <v>25000</v>
      </c>
      <c r="BX31" s="7"/>
      <c r="BY31" s="7">
        <f t="shared" si="18"/>
        <v>1640783.3620000002</v>
      </c>
      <c r="BZ31" s="7">
        <f t="shared" si="19"/>
        <v>425377.2</v>
      </c>
      <c r="CA31" s="7">
        <f t="shared" si="20"/>
        <v>394439.89999999997</v>
      </c>
      <c r="CB31" s="7"/>
    </row>
    <row r="32" spans="1:80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21"/>
        <v>90740.30000000005</v>
      </c>
      <c r="F32" s="7">
        <v>449784.9</v>
      </c>
      <c r="G32" s="7">
        <v>208010.5</v>
      </c>
      <c r="H32" s="7">
        <f t="shared" si="22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3"/>
        <v>168026</v>
      </c>
      <c r="S32" s="19"/>
      <c r="T32" s="19"/>
      <c r="U32" s="19"/>
      <c r="V32" s="19">
        <f t="shared" si="4"/>
        <v>446739</v>
      </c>
      <c r="W32" s="19">
        <f t="shared" si="5"/>
        <v>168372.7</v>
      </c>
      <c r="X32" s="19">
        <f t="shared" si="5"/>
        <v>168026</v>
      </c>
      <c r="Y32" s="7"/>
      <c r="Z32" s="7"/>
      <c r="AA32" s="7"/>
      <c r="AB32" s="19">
        <f t="shared" si="6"/>
        <v>446739</v>
      </c>
      <c r="AC32" s="19">
        <f t="shared" si="6"/>
        <v>168372.7</v>
      </c>
      <c r="AD32" s="19">
        <f t="shared" si="6"/>
        <v>168026</v>
      </c>
      <c r="AE32" s="7"/>
      <c r="AF32" s="19">
        <f t="shared" si="7"/>
        <v>446739</v>
      </c>
      <c r="AG32" s="19">
        <f t="shared" si="8"/>
        <v>168372.7</v>
      </c>
      <c r="AH32" s="19">
        <f t="shared" si="8"/>
        <v>168026</v>
      </c>
      <c r="AI32" s="7"/>
      <c r="AJ32" s="7"/>
      <c r="AK32" s="7"/>
      <c r="AL32" s="19">
        <f t="shared" si="9"/>
        <v>446739</v>
      </c>
      <c r="AM32" s="19">
        <f t="shared" si="9"/>
        <v>168372.7</v>
      </c>
      <c r="AN32" s="19">
        <f t="shared" si="9"/>
        <v>168026</v>
      </c>
      <c r="AO32" s="7"/>
      <c r="AP32" s="7"/>
      <c r="AQ32" s="7"/>
      <c r="AR32" s="7">
        <f t="shared" si="10"/>
        <v>446739</v>
      </c>
      <c r="AS32" s="7">
        <f t="shared" si="10"/>
        <v>168372.7</v>
      </c>
      <c r="AT32" s="7">
        <f t="shared" si="10"/>
        <v>168026</v>
      </c>
      <c r="AU32" s="7">
        <f>455.713+586.907+113.14+6212.076+10706.14+8526.141+263.98+1036.948+44159.073-46077.487+2000+650.453+14028.346+33350.837+15000+18554.38</f>
        <v>109566.647</v>
      </c>
      <c r="AV32" s="7">
        <f>-44628</f>
        <v>-44628</v>
      </c>
      <c r="AW32" s="7">
        <f>-43535.6</f>
        <v>-43535.6</v>
      </c>
      <c r="AX32" s="7">
        <f t="shared" si="11"/>
        <v>556305.647</v>
      </c>
      <c r="AY32" s="7">
        <f t="shared" si="11"/>
        <v>123744.70000000001</v>
      </c>
      <c r="AZ32" s="7">
        <f t="shared" si="11"/>
        <v>124490.4</v>
      </c>
      <c r="BA32" s="7"/>
      <c r="BB32" s="7"/>
      <c r="BC32" s="7"/>
      <c r="BD32" s="7">
        <f t="shared" si="12"/>
        <v>556305.647</v>
      </c>
      <c r="BE32" s="7">
        <f t="shared" si="12"/>
        <v>123744.70000000001</v>
      </c>
      <c r="BF32" s="7">
        <f t="shared" si="12"/>
        <v>124490.4</v>
      </c>
      <c r="BG32" s="7">
        <f>-8938.616-61959.7</f>
        <v>-70898.31599999999</v>
      </c>
      <c r="BH32" s="7">
        <v>61959.7</v>
      </c>
      <c r="BI32" s="7">
        <f t="shared" si="13"/>
        <v>485407.331</v>
      </c>
      <c r="BJ32" s="7">
        <f t="shared" si="13"/>
        <v>185704.40000000002</v>
      </c>
      <c r="BK32" s="7">
        <f t="shared" si="14"/>
        <v>124490.4</v>
      </c>
      <c r="BL32" s="7"/>
      <c r="BM32" s="7">
        <f t="shared" si="15"/>
        <v>485407.331</v>
      </c>
      <c r="BN32" s="7">
        <f>-1240+43.359+4640.792-10767.513</f>
        <v>-7323.362000000001</v>
      </c>
      <c r="BO32" s="7"/>
      <c r="BP32" s="7"/>
      <c r="BQ32" s="7">
        <f t="shared" si="16"/>
        <v>478083.969</v>
      </c>
      <c r="BR32" s="7">
        <f t="shared" si="17"/>
        <v>185704.40000000002</v>
      </c>
      <c r="BS32" s="7">
        <f t="shared" si="17"/>
        <v>124490.4</v>
      </c>
      <c r="BT32" s="7"/>
      <c r="BU32" s="7">
        <f t="shared" si="23"/>
        <v>478083.969</v>
      </c>
      <c r="BV32" s="7">
        <f>-70000-1082.92</f>
        <v>-71082.92</v>
      </c>
      <c r="BW32" s="7">
        <f>70000</f>
        <v>70000</v>
      </c>
      <c r="BX32" s="7"/>
      <c r="BY32" s="7">
        <f t="shared" si="18"/>
        <v>407001.049</v>
      </c>
      <c r="BZ32" s="7">
        <f t="shared" si="19"/>
        <v>255704.40000000002</v>
      </c>
      <c r="CA32" s="7">
        <f t="shared" si="20"/>
        <v>124490.4</v>
      </c>
      <c r="CB32" s="7"/>
    </row>
    <row r="33" spans="1:80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21"/>
        <v>445704.2999999998</v>
      </c>
      <c r="F33" s="7">
        <f>2521364.3+4000</f>
        <v>2525364.3</v>
      </c>
      <c r="G33" s="7">
        <v>2220336.4</v>
      </c>
      <c r="H33" s="7">
        <f t="shared" si="22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3"/>
        <v>2901228.7</v>
      </c>
      <c r="S33" s="19"/>
      <c r="T33" s="19"/>
      <c r="U33" s="19"/>
      <c r="V33" s="19">
        <f t="shared" si="4"/>
        <v>2524844.3</v>
      </c>
      <c r="W33" s="19">
        <f t="shared" si="5"/>
        <v>2879438.8</v>
      </c>
      <c r="X33" s="19">
        <f t="shared" si="5"/>
        <v>2901228.7</v>
      </c>
      <c r="Y33" s="7"/>
      <c r="Z33" s="7"/>
      <c r="AA33" s="7"/>
      <c r="AB33" s="19">
        <f t="shared" si="6"/>
        <v>2524844.3</v>
      </c>
      <c r="AC33" s="19">
        <f t="shared" si="6"/>
        <v>2879438.8</v>
      </c>
      <c r="AD33" s="19">
        <f t="shared" si="6"/>
        <v>2901228.7</v>
      </c>
      <c r="AE33" s="7"/>
      <c r="AF33" s="19">
        <f t="shared" si="7"/>
        <v>2524844.3</v>
      </c>
      <c r="AG33" s="19">
        <f t="shared" si="8"/>
        <v>2879438.8</v>
      </c>
      <c r="AH33" s="19">
        <f t="shared" si="8"/>
        <v>2901228.7</v>
      </c>
      <c r="AI33" s="7"/>
      <c r="AJ33" s="7"/>
      <c r="AK33" s="7"/>
      <c r="AL33" s="19">
        <f t="shared" si="9"/>
        <v>2524844.3</v>
      </c>
      <c r="AM33" s="19">
        <f t="shared" si="9"/>
        <v>2879438.8</v>
      </c>
      <c r="AN33" s="19">
        <f t="shared" si="9"/>
        <v>2901228.7</v>
      </c>
      <c r="AO33" s="7"/>
      <c r="AP33" s="7"/>
      <c r="AQ33" s="7"/>
      <c r="AR33" s="7">
        <f t="shared" si="10"/>
        <v>2524844.3</v>
      </c>
      <c r="AS33" s="7">
        <f t="shared" si="10"/>
        <v>2879438.8</v>
      </c>
      <c r="AT33" s="7">
        <f t="shared" si="10"/>
        <v>2901228.7</v>
      </c>
      <c r="AU33" s="7">
        <f>65000+2627.7+57449+12.641+1230+0.22+40.535+10+0.039+9.172+11182.215+5431.31+14.4+2534.623+5531.507+4673.489+8158.509+2283+2780+5249.044+959.088+6000+3000+10000+8000+164000+3000+6000+90804.768+63870.809</f>
        <v>529852.0689999999</v>
      </c>
      <c r="AV33" s="7">
        <f>73125+2627.7+64630.1</f>
        <v>140382.8</v>
      </c>
      <c r="AW33" s="7">
        <f>2627.7+71933.3</f>
        <v>74561</v>
      </c>
      <c r="AX33" s="7">
        <f t="shared" si="11"/>
        <v>3054696.369</v>
      </c>
      <c r="AY33" s="7">
        <f t="shared" si="11"/>
        <v>3019821.5999999996</v>
      </c>
      <c r="AZ33" s="7">
        <f t="shared" si="11"/>
        <v>2975789.7</v>
      </c>
      <c r="BA33" s="7"/>
      <c r="BB33" s="7"/>
      <c r="BC33" s="7"/>
      <c r="BD33" s="7">
        <f t="shared" si="12"/>
        <v>3054696.369</v>
      </c>
      <c r="BE33" s="7">
        <f t="shared" si="12"/>
        <v>3019821.5999999996</v>
      </c>
      <c r="BF33" s="7">
        <f t="shared" si="12"/>
        <v>2975789.7</v>
      </c>
      <c r="BG33" s="7">
        <f>90000+61959.7</f>
        <v>151959.7</v>
      </c>
      <c r="BH33" s="7">
        <v>-61959.7</v>
      </c>
      <c r="BI33" s="7">
        <f t="shared" si="13"/>
        <v>3206656.069</v>
      </c>
      <c r="BJ33" s="7">
        <f t="shared" si="13"/>
        <v>2957861.8999999994</v>
      </c>
      <c r="BK33" s="7">
        <f t="shared" si="14"/>
        <v>2975789.7</v>
      </c>
      <c r="BL33" s="7"/>
      <c r="BM33" s="7">
        <f t="shared" si="15"/>
        <v>3206656.069</v>
      </c>
      <c r="BN33" s="7"/>
      <c r="BO33" s="7"/>
      <c r="BP33" s="7"/>
      <c r="BQ33" s="7">
        <f t="shared" si="16"/>
        <v>3206656.069</v>
      </c>
      <c r="BR33" s="7">
        <f t="shared" si="17"/>
        <v>2957861.8999999994</v>
      </c>
      <c r="BS33" s="7">
        <f t="shared" si="17"/>
        <v>2975789.7</v>
      </c>
      <c r="BT33" s="7">
        <v>481055</v>
      </c>
      <c r="BU33" s="7">
        <f t="shared" si="23"/>
        <v>3687711.069</v>
      </c>
      <c r="BV33" s="7">
        <f>-19550.5-27367.824-2100-1000-9765</f>
        <v>-59783.324</v>
      </c>
      <c r="BW33" s="7">
        <f>27367.824+9765</f>
        <v>37132.824</v>
      </c>
      <c r="BX33" s="7"/>
      <c r="BY33" s="7">
        <f t="shared" si="18"/>
        <v>3627927.745</v>
      </c>
      <c r="BZ33" s="7">
        <f t="shared" si="19"/>
        <v>2994994.7239999995</v>
      </c>
      <c r="CA33" s="7">
        <f t="shared" si="20"/>
        <v>2975789.7</v>
      </c>
      <c r="CB33" s="7"/>
    </row>
    <row r="34" spans="1:80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21"/>
        <v>-33401.40000000002</v>
      </c>
      <c r="F34" s="7">
        <v>145328.3</v>
      </c>
      <c r="G34" s="7">
        <v>192710.2</v>
      </c>
      <c r="H34" s="7">
        <f t="shared" si="22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3"/>
        <v>163441.3</v>
      </c>
      <c r="S34" s="19"/>
      <c r="T34" s="19"/>
      <c r="U34" s="19"/>
      <c r="V34" s="19">
        <f t="shared" si="4"/>
        <v>145328.3</v>
      </c>
      <c r="W34" s="19">
        <f t="shared" si="5"/>
        <v>158298</v>
      </c>
      <c r="X34" s="19">
        <f t="shared" si="5"/>
        <v>163441.3</v>
      </c>
      <c r="Y34" s="7"/>
      <c r="Z34" s="7"/>
      <c r="AA34" s="7"/>
      <c r="AB34" s="19">
        <f t="shared" si="6"/>
        <v>145328.3</v>
      </c>
      <c r="AC34" s="19">
        <f t="shared" si="6"/>
        <v>158298</v>
      </c>
      <c r="AD34" s="19">
        <f t="shared" si="6"/>
        <v>163441.3</v>
      </c>
      <c r="AE34" s="7"/>
      <c r="AF34" s="19">
        <f t="shared" si="7"/>
        <v>145328.3</v>
      </c>
      <c r="AG34" s="19">
        <f t="shared" si="8"/>
        <v>158298</v>
      </c>
      <c r="AH34" s="19">
        <f t="shared" si="8"/>
        <v>163441.3</v>
      </c>
      <c r="AI34" s="7"/>
      <c r="AJ34" s="7"/>
      <c r="AK34" s="7"/>
      <c r="AL34" s="19">
        <f t="shared" si="9"/>
        <v>145328.3</v>
      </c>
      <c r="AM34" s="19">
        <f t="shared" si="9"/>
        <v>158298</v>
      </c>
      <c r="AN34" s="19">
        <f t="shared" si="9"/>
        <v>163441.3</v>
      </c>
      <c r="AO34" s="7"/>
      <c r="AP34" s="7"/>
      <c r="AQ34" s="7"/>
      <c r="AR34" s="7">
        <f t="shared" si="10"/>
        <v>145328.3</v>
      </c>
      <c r="AS34" s="7">
        <f t="shared" si="10"/>
        <v>158298</v>
      </c>
      <c r="AT34" s="7">
        <f t="shared" si="10"/>
        <v>163441.3</v>
      </c>
      <c r="AU34" s="7">
        <f>154.029+40.355+830+96.615+1.756+7.626+19533.035+46077.487+15620.1+4929</f>
        <v>87290.00300000001</v>
      </c>
      <c r="AV34" s="7">
        <f>14922.9+44628+16650.1</f>
        <v>76201</v>
      </c>
      <c r="AW34" s="7">
        <f>15175.4+43535.6+16814.5</f>
        <v>75525.5</v>
      </c>
      <c r="AX34" s="7">
        <f t="shared" si="11"/>
        <v>232618.303</v>
      </c>
      <c r="AY34" s="7">
        <f t="shared" si="11"/>
        <v>234499</v>
      </c>
      <c r="AZ34" s="7">
        <f t="shared" si="11"/>
        <v>238966.8</v>
      </c>
      <c r="BA34" s="7"/>
      <c r="BB34" s="7"/>
      <c r="BC34" s="7"/>
      <c r="BD34" s="7">
        <f t="shared" si="12"/>
        <v>232618.303</v>
      </c>
      <c r="BE34" s="7">
        <f t="shared" si="12"/>
        <v>234499</v>
      </c>
      <c r="BF34" s="7">
        <f t="shared" si="12"/>
        <v>238966.8</v>
      </c>
      <c r="BG34" s="7">
        <v>20</v>
      </c>
      <c r="BH34" s="7"/>
      <c r="BI34" s="7">
        <f t="shared" si="13"/>
        <v>232638.303</v>
      </c>
      <c r="BJ34" s="7">
        <f t="shared" si="13"/>
        <v>234499</v>
      </c>
      <c r="BK34" s="7">
        <f t="shared" si="14"/>
        <v>238966.8</v>
      </c>
      <c r="BL34" s="7"/>
      <c r="BM34" s="7">
        <f t="shared" si="15"/>
        <v>232638.303</v>
      </c>
      <c r="BN34" s="7">
        <f>-188.3+2500</f>
        <v>2311.7</v>
      </c>
      <c r="BO34" s="7">
        <v>-600.8</v>
      </c>
      <c r="BP34" s="7">
        <v>-600.8</v>
      </c>
      <c r="BQ34" s="7">
        <f t="shared" si="16"/>
        <v>234950.00300000003</v>
      </c>
      <c r="BR34" s="7">
        <f t="shared" si="17"/>
        <v>233898.2</v>
      </c>
      <c r="BS34" s="7">
        <f t="shared" si="17"/>
        <v>238366</v>
      </c>
      <c r="BT34" s="7"/>
      <c r="BU34" s="7">
        <f t="shared" si="23"/>
        <v>234950.00300000003</v>
      </c>
      <c r="BV34" s="7">
        <f>-3252.077</f>
        <v>-3252.077</v>
      </c>
      <c r="BW34" s="7"/>
      <c r="BX34" s="7"/>
      <c r="BY34" s="7">
        <f t="shared" si="18"/>
        <v>231697.92600000004</v>
      </c>
      <c r="BZ34" s="7">
        <f t="shared" si="19"/>
        <v>233898.2</v>
      </c>
      <c r="CA34" s="7">
        <f t="shared" si="20"/>
        <v>238366</v>
      </c>
      <c r="CB34" s="7"/>
    </row>
    <row r="35" spans="1:80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21"/>
        <v>2636.0999999999985</v>
      </c>
      <c r="F35" s="15">
        <f>SUM(F36:F38)</f>
        <v>39665</v>
      </c>
      <c r="G35" s="15">
        <f>SUM(G36:G38)</f>
        <v>39033.55</v>
      </c>
      <c r="H35" s="15">
        <f t="shared" si="22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3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4"/>
        <v>39665</v>
      </c>
      <c r="W35" s="18">
        <f t="shared" si="5"/>
        <v>36925</v>
      </c>
      <c r="X35" s="18">
        <f t="shared" si="5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6"/>
        <v>39665</v>
      </c>
      <c r="AC35" s="18">
        <f t="shared" si="6"/>
        <v>36925</v>
      </c>
      <c r="AD35" s="18">
        <f t="shared" si="6"/>
        <v>36944</v>
      </c>
      <c r="AE35" s="15">
        <f>SUM(AE36:AE38)</f>
        <v>0</v>
      </c>
      <c r="AF35" s="18">
        <f t="shared" si="7"/>
        <v>39665</v>
      </c>
      <c r="AG35" s="18">
        <f t="shared" si="8"/>
        <v>36925</v>
      </c>
      <c r="AH35" s="18">
        <f t="shared" si="8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9"/>
        <v>39665</v>
      </c>
      <c r="AM35" s="18">
        <f t="shared" si="9"/>
        <v>36925</v>
      </c>
      <c r="AN35" s="18">
        <f t="shared" si="9"/>
        <v>36944</v>
      </c>
      <c r="AO35" s="15">
        <f>SUM(AO36:AO38)</f>
        <v>0</v>
      </c>
      <c r="AP35" s="15">
        <f>SUM(AP36:AP38)</f>
        <v>0</v>
      </c>
      <c r="AQ35" s="15">
        <f>SUM(AQ36:AQ38)</f>
        <v>0</v>
      </c>
      <c r="AR35" s="15">
        <f t="shared" si="10"/>
        <v>39665</v>
      </c>
      <c r="AS35" s="15">
        <f t="shared" si="10"/>
        <v>36925</v>
      </c>
      <c r="AT35" s="15">
        <f t="shared" si="10"/>
        <v>36944</v>
      </c>
      <c r="AU35" s="15">
        <f>SUM(AU36:AU38)</f>
        <v>1984.5710000000001</v>
      </c>
      <c r="AV35" s="15">
        <f>SUM(AV36:AV38)</f>
        <v>0</v>
      </c>
      <c r="AW35" s="15">
        <f>SUM(AW36:AW38)</f>
        <v>0</v>
      </c>
      <c r="AX35" s="15">
        <f t="shared" si="11"/>
        <v>41649.571</v>
      </c>
      <c r="AY35" s="15">
        <f t="shared" si="11"/>
        <v>36925</v>
      </c>
      <c r="AZ35" s="15">
        <f t="shared" si="11"/>
        <v>36944</v>
      </c>
      <c r="BA35" s="15">
        <f>SUM(BA36:BA38)</f>
        <v>0</v>
      </c>
      <c r="BB35" s="15">
        <f>SUM(BB36:BB38)</f>
        <v>0</v>
      </c>
      <c r="BC35" s="15">
        <f>SUM(BC36:BC38)</f>
        <v>0</v>
      </c>
      <c r="BD35" s="15">
        <f t="shared" si="12"/>
        <v>41649.571</v>
      </c>
      <c r="BE35" s="15">
        <f t="shared" si="12"/>
        <v>36925</v>
      </c>
      <c r="BF35" s="15">
        <f t="shared" si="12"/>
        <v>36944</v>
      </c>
      <c r="BG35" s="15">
        <f>SUM(BG36:BG38)</f>
        <v>0</v>
      </c>
      <c r="BH35" s="15">
        <f>SUM(BH36:BH38)</f>
        <v>0</v>
      </c>
      <c r="BI35" s="15">
        <f t="shared" si="13"/>
        <v>41649.571</v>
      </c>
      <c r="BJ35" s="15">
        <f t="shared" si="13"/>
        <v>36925</v>
      </c>
      <c r="BK35" s="15">
        <f t="shared" si="14"/>
        <v>36944</v>
      </c>
      <c r="BL35" s="15">
        <f>SUM(BL36:BL38)</f>
        <v>0</v>
      </c>
      <c r="BM35" s="15">
        <f t="shared" si="15"/>
        <v>41649.571</v>
      </c>
      <c r="BN35" s="15">
        <f>SUM(BN36:BN38)</f>
        <v>0</v>
      </c>
      <c r="BO35" s="15">
        <f>SUM(BO36:BO38)</f>
        <v>0</v>
      </c>
      <c r="BP35" s="15">
        <f>SUM(BP36:BP38)</f>
        <v>0</v>
      </c>
      <c r="BQ35" s="15">
        <f t="shared" si="16"/>
        <v>41649.571</v>
      </c>
      <c r="BR35" s="15">
        <f t="shared" si="17"/>
        <v>36925</v>
      </c>
      <c r="BS35" s="15">
        <f t="shared" si="17"/>
        <v>36944</v>
      </c>
      <c r="BT35" s="15">
        <f>SUM(BT36:BT38)</f>
        <v>0</v>
      </c>
      <c r="BU35" s="15">
        <f t="shared" si="23"/>
        <v>41649.571</v>
      </c>
      <c r="BV35" s="15">
        <f>SUM(BV36:BV38)</f>
        <v>0</v>
      </c>
      <c r="BW35" s="15">
        <f>SUM(BW36:BW38)</f>
        <v>0</v>
      </c>
      <c r="BX35" s="15">
        <f>SUM(BX36:BX38)</f>
        <v>0</v>
      </c>
      <c r="BY35" s="15">
        <f t="shared" si="18"/>
        <v>41649.571</v>
      </c>
      <c r="BZ35" s="15">
        <f t="shared" si="19"/>
        <v>36925</v>
      </c>
      <c r="CA35" s="15">
        <f t="shared" si="20"/>
        <v>36944</v>
      </c>
      <c r="CB35" s="15">
        <f>SUM(CB36:CB38)</f>
        <v>0</v>
      </c>
    </row>
    <row r="36" spans="1:80" ht="15.75">
      <c r="A36" s="5" t="s">
        <v>15</v>
      </c>
      <c r="B36" s="8" t="s">
        <v>9</v>
      </c>
      <c r="C36" s="6" t="s">
        <v>72</v>
      </c>
      <c r="D36" s="7"/>
      <c r="E36" s="7">
        <f t="shared" si="21"/>
        <v>5000</v>
      </c>
      <c r="F36" s="7">
        <v>5000</v>
      </c>
      <c r="G36" s="7">
        <v>0</v>
      </c>
      <c r="H36" s="7">
        <f t="shared" si="22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3"/>
        <v>0</v>
      </c>
      <c r="S36" s="19"/>
      <c r="T36" s="19"/>
      <c r="U36" s="19"/>
      <c r="V36" s="19">
        <f t="shared" si="4"/>
        <v>5000</v>
      </c>
      <c r="W36" s="19">
        <f t="shared" si="5"/>
        <v>0</v>
      </c>
      <c r="X36" s="19">
        <f t="shared" si="5"/>
        <v>0</v>
      </c>
      <c r="Y36" s="7"/>
      <c r="Z36" s="7"/>
      <c r="AA36" s="7"/>
      <c r="AB36" s="19">
        <f t="shared" si="6"/>
        <v>5000</v>
      </c>
      <c r="AC36" s="19">
        <f t="shared" si="6"/>
        <v>0</v>
      </c>
      <c r="AD36" s="19">
        <f t="shared" si="6"/>
        <v>0</v>
      </c>
      <c r="AE36" s="7"/>
      <c r="AF36" s="19">
        <f t="shared" si="7"/>
        <v>5000</v>
      </c>
      <c r="AG36" s="19">
        <f t="shared" si="8"/>
        <v>0</v>
      </c>
      <c r="AH36" s="19">
        <f t="shared" si="8"/>
        <v>0</v>
      </c>
      <c r="AI36" s="7"/>
      <c r="AJ36" s="7"/>
      <c r="AK36" s="7"/>
      <c r="AL36" s="19">
        <f t="shared" si="9"/>
        <v>5000</v>
      </c>
      <c r="AM36" s="19">
        <f t="shared" si="9"/>
        <v>0</v>
      </c>
      <c r="AN36" s="19">
        <f t="shared" si="9"/>
        <v>0</v>
      </c>
      <c r="AO36" s="7"/>
      <c r="AP36" s="7"/>
      <c r="AQ36" s="7"/>
      <c r="AR36" s="7">
        <f t="shared" si="10"/>
        <v>5000</v>
      </c>
      <c r="AS36" s="7">
        <f t="shared" si="10"/>
        <v>0</v>
      </c>
      <c r="AT36" s="7">
        <f t="shared" si="10"/>
        <v>0</v>
      </c>
      <c r="AU36" s="7"/>
      <c r="AV36" s="7"/>
      <c r="AW36" s="7"/>
      <c r="AX36" s="7">
        <f t="shared" si="11"/>
        <v>5000</v>
      </c>
      <c r="AY36" s="7">
        <f t="shared" si="11"/>
        <v>0</v>
      </c>
      <c r="AZ36" s="7">
        <f t="shared" si="11"/>
        <v>0</v>
      </c>
      <c r="BA36" s="7"/>
      <c r="BB36" s="7"/>
      <c r="BC36" s="7"/>
      <c r="BD36" s="7">
        <f t="shared" si="12"/>
        <v>5000</v>
      </c>
      <c r="BE36" s="7">
        <f t="shared" si="12"/>
        <v>0</v>
      </c>
      <c r="BF36" s="7">
        <f t="shared" si="12"/>
        <v>0</v>
      </c>
      <c r="BG36" s="7"/>
      <c r="BH36" s="7"/>
      <c r="BI36" s="7">
        <f t="shared" si="13"/>
        <v>5000</v>
      </c>
      <c r="BJ36" s="7">
        <f t="shared" si="13"/>
        <v>0</v>
      </c>
      <c r="BK36" s="7">
        <f t="shared" si="14"/>
        <v>0</v>
      </c>
      <c r="BL36" s="7"/>
      <c r="BM36" s="7">
        <f t="shared" si="15"/>
        <v>5000</v>
      </c>
      <c r="BN36" s="7"/>
      <c r="BO36" s="7"/>
      <c r="BP36" s="7"/>
      <c r="BQ36" s="7">
        <f t="shared" si="16"/>
        <v>5000</v>
      </c>
      <c r="BR36" s="7">
        <f t="shared" si="17"/>
        <v>0</v>
      </c>
      <c r="BS36" s="7">
        <f t="shared" si="17"/>
        <v>0</v>
      </c>
      <c r="BT36" s="7"/>
      <c r="BU36" s="7">
        <f t="shared" si="23"/>
        <v>5000</v>
      </c>
      <c r="BV36" s="7"/>
      <c r="BW36" s="7"/>
      <c r="BX36" s="7"/>
      <c r="BY36" s="7">
        <f t="shared" si="18"/>
        <v>5000</v>
      </c>
      <c r="BZ36" s="7">
        <f t="shared" si="19"/>
        <v>0</v>
      </c>
      <c r="CA36" s="7">
        <f t="shared" si="20"/>
        <v>0</v>
      </c>
      <c r="CB36" s="7"/>
    </row>
    <row r="37" spans="1:80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21"/>
        <v>-322.2000000000007</v>
      </c>
      <c r="F37" s="7">
        <v>26609</v>
      </c>
      <c r="G37" s="7">
        <v>28954</v>
      </c>
      <c r="H37" s="7">
        <f t="shared" si="22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3"/>
        <v>28389.2</v>
      </c>
      <c r="S37" s="19"/>
      <c r="T37" s="19"/>
      <c r="U37" s="19"/>
      <c r="V37" s="19">
        <f t="shared" si="4"/>
        <v>26609</v>
      </c>
      <c r="W37" s="19">
        <f t="shared" si="5"/>
        <v>28389.2</v>
      </c>
      <c r="X37" s="19">
        <f t="shared" si="5"/>
        <v>28389.2</v>
      </c>
      <c r="Y37" s="7"/>
      <c r="Z37" s="7"/>
      <c r="AA37" s="7"/>
      <c r="AB37" s="19">
        <f t="shared" si="6"/>
        <v>26609</v>
      </c>
      <c r="AC37" s="19">
        <f t="shared" si="6"/>
        <v>28389.2</v>
      </c>
      <c r="AD37" s="19">
        <f t="shared" si="6"/>
        <v>28389.2</v>
      </c>
      <c r="AE37" s="7"/>
      <c r="AF37" s="19">
        <f t="shared" si="7"/>
        <v>26609</v>
      </c>
      <c r="AG37" s="19">
        <f t="shared" si="8"/>
        <v>28389.2</v>
      </c>
      <c r="AH37" s="19">
        <f t="shared" si="8"/>
        <v>28389.2</v>
      </c>
      <c r="AI37" s="7"/>
      <c r="AJ37" s="7"/>
      <c r="AK37" s="7"/>
      <c r="AL37" s="19">
        <f t="shared" si="9"/>
        <v>26609</v>
      </c>
      <c r="AM37" s="19">
        <f t="shared" si="9"/>
        <v>28389.2</v>
      </c>
      <c r="AN37" s="19">
        <f t="shared" si="9"/>
        <v>28389.2</v>
      </c>
      <c r="AO37" s="7"/>
      <c r="AP37" s="7"/>
      <c r="AQ37" s="7"/>
      <c r="AR37" s="7">
        <f t="shared" si="10"/>
        <v>26609</v>
      </c>
      <c r="AS37" s="7">
        <f t="shared" si="10"/>
        <v>28389.2</v>
      </c>
      <c r="AT37" s="7">
        <f t="shared" si="10"/>
        <v>28389.2</v>
      </c>
      <c r="AU37" s="7">
        <f>373.227+21.6+112.2+1427.93</f>
        <v>1934.957</v>
      </c>
      <c r="AV37" s="7"/>
      <c r="AW37" s="7"/>
      <c r="AX37" s="7">
        <f t="shared" si="11"/>
        <v>28543.957</v>
      </c>
      <c r="AY37" s="7">
        <f t="shared" si="11"/>
        <v>28389.2</v>
      </c>
      <c r="AZ37" s="7">
        <f t="shared" si="11"/>
        <v>28389.2</v>
      </c>
      <c r="BA37" s="7"/>
      <c r="BB37" s="7"/>
      <c r="BC37" s="7"/>
      <c r="BD37" s="7">
        <f t="shared" si="12"/>
        <v>28543.957</v>
      </c>
      <c r="BE37" s="7">
        <f t="shared" si="12"/>
        <v>28389.2</v>
      </c>
      <c r="BF37" s="7">
        <f t="shared" si="12"/>
        <v>28389.2</v>
      </c>
      <c r="BG37" s="7"/>
      <c r="BH37" s="7"/>
      <c r="BI37" s="7">
        <f t="shared" si="13"/>
        <v>28543.957</v>
      </c>
      <c r="BJ37" s="7">
        <f t="shared" si="13"/>
        <v>28389.2</v>
      </c>
      <c r="BK37" s="7">
        <f t="shared" si="14"/>
        <v>28389.2</v>
      </c>
      <c r="BL37" s="7"/>
      <c r="BM37" s="7">
        <f t="shared" si="15"/>
        <v>28543.957</v>
      </c>
      <c r="BN37" s="7"/>
      <c r="BO37" s="7"/>
      <c r="BP37" s="7"/>
      <c r="BQ37" s="7">
        <f t="shared" si="16"/>
        <v>28543.957</v>
      </c>
      <c r="BR37" s="7">
        <f t="shared" si="17"/>
        <v>28389.2</v>
      </c>
      <c r="BS37" s="7">
        <f t="shared" si="17"/>
        <v>28389.2</v>
      </c>
      <c r="BT37" s="7"/>
      <c r="BU37" s="7">
        <f t="shared" si="23"/>
        <v>28543.957</v>
      </c>
      <c r="BV37" s="7"/>
      <c r="BW37" s="7"/>
      <c r="BX37" s="7"/>
      <c r="BY37" s="7">
        <f t="shared" si="18"/>
        <v>28543.957</v>
      </c>
      <c r="BZ37" s="7">
        <f t="shared" si="19"/>
        <v>28389.2</v>
      </c>
      <c r="CA37" s="7">
        <f t="shared" si="20"/>
        <v>28389.2</v>
      </c>
      <c r="CB37" s="7"/>
    </row>
    <row r="38" spans="1:80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21"/>
        <v>-2041.7000000000007</v>
      </c>
      <c r="F38" s="7">
        <v>8056</v>
      </c>
      <c r="G38" s="7">
        <v>10079.55</v>
      </c>
      <c r="H38" s="7">
        <f t="shared" si="22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3"/>
        <v>8554.8</v>
      </c>
      <c r="S38" s="19"/>
      <c r="T38" s="19"/>
      <c r="U38" s="19"/>
      <c r="V38" s="19">
        <f t="shared" si="4"/>
        <v>8056</v>
      </c>
      <c r="W38" s="19">
        <f t="shared" si="5"/>
        <v>8535.8</v>
      </c>
      <c r="X38" s="19">
        <f t="shared" si="5"/>
        <v>8554.8</v>
      </c>
      <c r="Y38" s="7"/>
      <c r="Z38" s="7"/>
      <c r="AA38" s="7"/>
      <c r="AB38" s="19">
        <f t="shared" si="6"/>
        <v>8056</v>
      </c>
      <c r="AC38" s="19">
        <f t="shared" si="6"/>
        <v>8535.8</v>
      </c>
      <c r="AD38" s="19">
        <f t="shared" si="6"/>
        <v>8554.8</v>
      </c>
      <c r="AE38" s="7"/>
      <c r="AF38" s="19">
        <f t="shared" si="7"/>
        <v>8056</v>
      </c>
      <c r="AG38" s="19">
        <f t="shared" si="8"/>
        <v>8535.8</v>
      </c>
      <c r="AH38" s="19">
        <f t="shared" si="8"/>
        <v>8554.8</v>
      </c>
      <c r="AI38" s="7"/>
      <c r="AJ38" s="7"/>
      <c r="AK38" s="7"/>
      <c r="AL38" s="19">
        <f t="shared" si="9"/>
        <v>8056</v>
      </c>
      <c r="AM38" s="19">
        <f t="shared" si="9"/>
        <v>8535.8</v>
      </c>
      <c r="AN38" s="19">
        <f t="shared" si="9"/>
        <v>8554.8</v>
      </c>
      <c r="AO38" s="7"/>
      <c r="AP38" s="7"/>
      <c r="AQ38" s="7"/>
      <c r="AR38" s="7">
        <f t="shared" si="10"/>
        <v>8056</v>
      </c>
      <c r="AS38" s="7">
        <f t="shared" si="10"/>
        <v>8535.8</v>
      </c>
      <c r="AT38" s="7">
        <f t="shared" si="10"/>
        <v>8554.8</v>
      </c>
      <c r="AU38" s="7">
        <v>49.614</v>
      </c>
      <c r="AV38" s="7"/>
      <c r="AW38" s="7"/>
      <c r="AX38" s="7">
        <f t="shared" si="11"/>
        <v>8105.614</v>
      </c>
      <c r="AY38" s="7">
        <f t="shared" si="11"/>
        <v>8535.8</v>
      </c>
      <c r="AZ38" s="7">
        <f t="shared" si="11"/>
        <v>8554.8</v>
      </c>
      <c r="BA38" s="7"/>
      <c r="BB38" s="7"/>
      <c r="BC38" s="7"/>
      <c r="BD38" s="7">
        <f t="shared" si="12"/>
        <v>8105.614</v>
      </c>
      <c r="BE38" s="7">
        <f t="shared" si="12"/>
        <v>8535.8</v>
      </c>
      <c r="BF38" s="7">
        <f t="shared" si="12"/>
        <v>8554.8</v>
      </c>
      <c r="BG38" s="7"/>
      <c r="BH38" s="7"/>
      <c r="BI38" s="7">
        <f t="shared" si="13"/>
        <v>8105.614</v>
      </c>
      <c r="BJ38" s="7">
        <f t="shared" si="13"/>
        <v>8535.8</v>
      </c>
      <c r="BK38" s="7">
        <f t="shared" si="14"/>
        <v>8554.8</v>
      </c>
      <c r="BL38" s="7"/>
      <c r="BM38" s="7">
        <f t="shared" si="15"/>
        <v>8105.614</v>
      </c>
      <c r="BN38" s="7"/>
      <c r="BO38" s="7"/>
      <c r="BP38" s="7"/>
      <c r="BQ38" s="7">
        <f t="shared" si="16"/>
        <v>8105.614</v>
      </c>
      <c r="BR38" s="7">
        <f t="shared" si="17"/>
        <v>8535.8</v>
      </c>
      <c r="BS38" s="7">
        <f t="shared" si="17"/>
        <v>8554.8</v>
      </c>
      <c r="BT38" s="7"/>
      <c r="BU38" s="7">
        <f t="shared" si="23"/>
        <v>8105.614</v>
      </c>
      <c r="BV38" s="7"/>
      <c r="BW38" s="7"/>
      <c r="BX38" s="7"/>
      <c r="BY38" s="7">
        <f t="shared" si="18"/>
        <v>8105.614</v>
      </c>
      <c r="BZ38" s="7">
        <f t="shared" si="19"/>
        <v>8535.8</v>
      </c>
      <c r="CA38" s="7">
        <f t="shared" si="20"/>
        <v>8554.8</v>
      </c>
      <c r="CB38" s="7"/>
    </row>
    <row r="39" spans="1:80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21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22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3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4"/>
        <v>6415617.500000001</v>
      </c>
      <c r="W39" s="18">
        <f t="shared" si="5"/>
        <v>7493859.699999999</v>
      </c>
      <c r="X39" s="18">
        <f t="shared" si="5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6"/>
        <v>6415617.500000001</v>
      </c>
      <c r="AC39" s="18">
        <f t="shared" si="6"/>
        <v>7493859.699999999</v>
      </c>
      <c r="AD39" s="18">
        <f t="shared" si="6"/>
        <v>7518447.8</v>
      </c>
      <c r="AE39" s="15">
        <f>SUM(AE40:AE43)</f>
        <v>0</v>
      </c>
      <c r="AF39" s="18">
        <f t="shared" si="7"/>
        <v>6415617.500000001</v>
      </c>
      <c r="AG39" s="18">
        <f t="shared" si="8"/>
        <v>7493859.699999999</v>
      </c>
      <c r="AH39" s="18">
        <f t="shared" si="8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9"/>
        <v>6415617.500000001</v>
      </c>
      <c r="AM39" s="18">
        <f t="shared" si="9"/>
        <v>7493859.699999999</v>
      </c>
      <c r="AN39" s="18">
        <f t="shared" si="9"/>
        <v>7518447.8</v>
      </c>
      <c r="AO39" s="15">
        <f>SUM(AO40:AO43)</f>
        <v>0</v>
      </c>
      <c r="AP39" s="15">
        <f>SUM(AP40:AP43)</f>
        <v>0</v>
      </c>
      <c r="AQ39" s="15">
        <f>SUM(AQ40:AQ43)</f>
        <v>0</v>
      </c>
      <c r="AR39" s="15">
        <f t="shared" si="10"/>
        <v>6415617.500000001</v>
      </c>
      <c r="AS39" s="15">
        <f t="shared" si="10"/>
        <v>7493859.699999999</v>
      </c>
      <c r="AT39" s="15">
        <f t="shared" si="10"/>
        <v>7518447.8</v>
      </c>
      <c r="AU39" s="15">
        <f>SUM(AU40:AU43)</f>
        <v>735696.1830000001</v>
      </c>
      <c r="AV39" s="15">
        <f>SUM(AV40:AV43)</f>
        <v>0</v>
      </c>
      <c r="AW39" s="15">
        <f>SUM(AW40:AW43)</f>
        <v>0</v>
      </c>
      <c r="AX39" s="15">
        <f t="shared" si="11"/>
        <v>7151313.683000001</v>
      </c>
      <c r="AY39" s="15">
        <f t="shared" si="11"/>
        <v>7493859.699999999</v>
      </c>
      <c r="AZ39" s="15">
        <f t="shared" si="11"/>
        <v>7518447.8</v>
      </c>
      <c r="BA39" s="15">
        <f>SUM(BA40:BA43)</f>
        <v>0</v>
      </c>
      <c r="BB39" s="15">
        <f>SUM(BB40:BB43)</f>
        <v>0</v>
      </c>
      <c r="BC39" s="15">
        <f>SUM(BC40:BC43)</f>
        <v>0</v>
      </c>
      <c r="BD39" s="15">
        <f t="shared" si="12"/>
        <v>7151313.683000001</v>
      </c>
      <c r="BE39" s="15">
        <f t="shared" si="12"/>
        <v>7493859.699999999</v>
      </c>
      <c r="BF39" s="15">
        <f t="shared" si="12"/>
        <v>7518447.8</v>
      </c>
      <c r="BG39" s="15">
        <f>SUM(BG40:BG43)</f>
        <v>170.44500000000698</v>
      </c>
      <c r="BH39" s="15">
        <f>SUM(BH40:BH43)</f>
        <v>0</v>
      </c>
      <c r="BI39" s="15">
        <f t="shared" si="13"/>
        <v>7151484.128000001</v>
      </c>
      <c r="BJ39" s="15">
        <f t="shared" si="13"/>
        <v>7493859.699999999</v>
      </c>
      <c r="BK39" s="15">
        <f t="shared" si="14"/>
        <v>7518447.8</v>
      </c>
      <c r="BL39" s="15">
        <f>SUM(BL40:BL43)</f>
        <v>167.65499999999156</v>
      </c>
      <c r="BM39" s="15">
        <f t="shared" si="15"/>
        <v>7151651.783000002</v>
      </c>
      <c r="BN39" s="15">
        <f>SUM(BN40:BN43)</f>
        <v>-182711.1</v>
      </c>
      <c r="BO39" s="15">
        <f>SUM(BO40:BO43)</f>
        <v>0</v>
      </c>
      <c r="BP39" s="15">
        <f>SUM(BP40:BP43)</f>
        <v>0</v>
      </c>
      <c r="BQ39" s="15">
        <f t="shared" si="16"/>
        <v>6968940.683000002</v>
      </c>
      <c r="BR39" s="15">
        <f t="shared" si="17"/>
        <v>7493859.699999999</v>
      </c>
      <c r="BS39" s="15">
        <f t="shared" si="17"/>
        <v>7518447.8</v>
      </c>
      <c r="BT39" s="15">
        <f>SUM(BT40:BT43)</f>
        <v>0</v>
      </c>
      <c r="BU39" s="15">
        <f t="shared" si="23"/>
        <v>6968940.683000002</v>
      </c>
      <c r="BV39" s="15">
        <f>SUM(BV40:BV43)</f>
        <v>-13360.5</v>
      </c>
      <c r="BW39" s="15">
        <f>SUM(BW40:BW43)</f>
        <v>6000</v>
      </c>
      <c r="BX39" s="15">
        <f>SUM(BX40:BX43)</f>
        <v>0</v>
      </c>
      <c r="BY39" s="15">
        <f t="shared" si="18"/>
        <v>6955580.183000002</v>
      </c>
      <c r="BZ39" s="15">
        <f t="shared" si="19"/>
        <v>7499859.699999999</v>
      </c>
      <c r="CA39" s="15">
        <f t="shared" si="20"/>
        <v>7518447.8</v>
      </c>
      <c r="CB39" s="15">
        <f>SUM(CB40:CB43)</f>
        <v>0</v>
      </c>
    </row>
    <row r="40" spans="1:80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21"/>
        <v>-709401.7000000002</v>
      </c>
      <c r="F40" s="7">
        <v>2225999.4</v>
      </c>
      <c r="G40" s="7">
        <v>3489473.6</v>
      </c>
      <c r="H40" s="7">
        <f t="shared" si="22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3"/>
        <v>2519783.6999999997</v>
      </c>
      <c r="S40" s="19"/>
      <c r="T40" s="19"/>
      <c r="U40" s="19"/>
      <c r="V40" s="19">
        <f t="shared" si="4"/>
        <v>2200108.6999999997</v>
      </c>
      <c r="W40" s="19">
        <f t="shared" si="5"/>
        <v>2507592.4</v>
      </c>
      <c r="X40" s="19">
        <f t="shared" si="5"/>
        <v>2519783.6999999997</v>
      </c>
      <c r="Y40" s="7"/>
      <c r="Z40" s="7"/>
      <c r="AA40" s="7"/>
      <c r="AB40" s="19">
        <f t="shared" si="6"/>
        <v>2200108.6999999997</v>
      </c>
      <c r="AC40" s="19">
        <f t="shared" si="6"/>
        <v>2507592.4</v>
      </c>
      <c r="AD40" s="19">
        <f t="shared" si="6"/>
        <v>2519783.6999999997</v>
      </c>
      <c r="AE40" s="7"/>
      <c r="AF40" s="19">
        <f t="shared" si="7"/>
        <v>2200108.6999999997</v>
      </c>
      <c r="AG40" s="19">
        <f t="shared" si="8"/>
        <v>2507592.4</v>
      </c>
      <c r="AH40" s="19">
        <f t="shared" si="8"/>
        <v>2519783.6999999997</v>
      </c>
      <c r="AI40" s="7"/>
      <c r="AJ40" s="7"/>
      <c r="AK40" s="7"/>
      <c r="AL40" s="19">
        <f t="shared" si="9"/>
        <v>2200108.6999999997</v>
      </c>
      <c r="AM40" s="19">
        <f t="shared" si="9"/>
        <v>2507592.4</v>
      </c>
      <c r="AN40" s="19">
        <f t="shared" si="9"/>
        <v>2519783.6999999997</v>
      </c>
      <c r="AO40" s="7"/>
      <c r="AP40" s="7"/>
      <c r="AQ40" s="7"/>
      <c r="AR40" s="7">
        <f t="shared" si="10"/>
        <v>2200108.6999999997</v>
      </c>
      <c r="AS40" s="7">
        <f t="shared" si="10"/>
        <v>2507592.4</v>
      </c>
      <c r="AT40" s="7">
        <f t="shared" si="10"/>
        <v>2519783.6999999997</v>
      </c>
      <c r="AU40" s="7">
        <f>-245.9+3.377+1275.308+55.316+7074.648+4047.481+831.345+313.983+245.9-222.441+16405.344+4138.486+70000+20000+60000+539.898</f>
        <v>184462.745</v>
      </c>
      <c r="AV40" s="7"/>
      <c r="AW40" s="7"/>
      <c r="AX40" s="7">
        <f t="shared" si="11"/>
        <v>2384571.445</v>
      </c>
      <c r="AY40" s="7">
        <f t="shared" si="11"/>
        <v>2507592.4</v>
      </c>
      <c r="AZ40" s="7">
        <f t="shared" si="11"/>
        <v>2519783.6999999997</v>
      </c>
      <c r="BA40" s="7"/>
      <c r="BB40" s="7"/>
      <c r="BC40" s="7"/>
      <c r="BD40" s="7">
        <f t="shared" si="12"/>
        <v>2384571.445</v>
      </c>
      <c r="BE40" s="7">
        <f t="shared" si="12"/>
        <v>2507592.4</v>
      </c>
      <c r="BF40" s="7">
        <f t="shared" si="12"/>
        <v>2519783.6999999997</v>
      </c>
      <c r="BG40" s="7">
        <f>-4704.104+4703.037</f>
        <v>-1.0670000000000073</v>
      </c>
      <c r="BH40" s="7"/>
      <c r="BI40" s="7">
        <f t="shared" si="13"/>
        <v>2384570.378</v>
      </c>
      <c r="BJ40" s="7">
        <f t="shared" si="13"/>
        <v>2507592.4</v>
      </c>
      <c r="BK40" s="7">
        <f t="shared" si="14"/>
        <v>2519783.6999999997</v>
      </c>
      <c r="BL40" s="7"/>
      <c r="BM40" s="7">
        <f t="shared" si="15"/>
        <v>2384570.378</v>
      </c>
      <c r="BN40" s="7"/>
      <c r="BO40" s="7"/>
      <c r="BP40" s="7"/>
      <c r="BQ40" s="7">
        <f t="shared" si="16"/>
        <v>2384570.378</v>
      </c>
      <c r="BR40" s="7">
        <f t="shared" si="17"/>
        <v>2507592.4</v>
      </c>
      <c r="BS40" s="7">
        <f t="shared" si="17"/>
        <v>2519783.6999999997</v>
      </c>
      <c r="BT40" s="7"/>
      <c r="BU40" s="7">
        <f t="shared" si="23"/>
        <v>2384570.378</v>
      </c>
      <c r="BV40" s="7">
        <f>-94.5+1656.983</f>
        <v>1562.483</v>
      </c>
      <c r="BW40" s="7"/>
      <c r="BX40" s="7"/>
      <c r="BY40" s="7">
        <f t="shared" si="18"/>
        <v>2386132.861</v>
      </c>
      <c r="BZ40" s="7">
        <f t="shared" si="19"/>
        <v>2507592.4</v>
      </c>
      <c r="CA40" s="7">
        <f t="shared" si="20"/>
        <v>2519783.6999999997</v>
      </c>
      <c r="CB40" s="7"/>
    </row>
    <row r="41" spans="1:80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21"/>
        <v>-688491</v>
      </c>
      <c r="F41" s="7">
        <f>3906535.5-519</f>
        <v>3906016.5</v>
      </c>
      <c r="G41" s="7">
        <v>5091017.7</v>
      </c>
      <c r="H41" s="7">
        <f t="shared" si="22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3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4"/>
        <v>3890667.4</v>
      </c>
      <c r="W41" s="19">
        <f t="shared" si="5"/>
        <v>4713602.6</v>
      </c>
      <c r="X41" s="19">
        <f t="shared" si="5"/>
        <v>4716601.2</v>
      </c>
      <c r="Y41" s="7"/>
      <c r="Z41" s="7"/>
      <c r="AA41" s="7"/>
      <c r="AB41" s="19">
        <f t="shared" si="6"/>
        <v>3890667.4</v>
      </c>
      <c r="AC41" s="19">
        <f t="shared" si="6"/>
        <v>4713602.6</v>
      </c>
      <c r="AD41" s="19">
        <f t="shared" si="6"/>
        <v>4716601.2</v>
      </c>
      <c r="AE41" s="7"/>
      <c r="AF41" s="19">
        <f t="shared" si="7"/>
        <v>3890667.4</v>
      </c>
      <c r="AG41" s="19">
        <f t="shared" si="8"/>
        <v>4713602.6</v>
      </c>
      <c r="AH41" s="19">
        <f t="shared" si="8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 t="shared" si="9"/>
        <v>3905924.2399999998</v>
      </c>
      <c r="AM41" s="19">
        <f t="shared" si="9"/>
        <v>4741815.529999999</v>
      </c>
      <c r="AN41" s="19">
        <f t="shared" si="9"/>
        <v>4747864.8</v>
      </c>
      <c r="AO41" s="7">
        <v>-2238.42</v>
      </c>
      <c r="AP41" s="7">
        <v>-3523.43</v>
      </c>
      <c r="AQ41" s="7">
        <v>-3692.12</v>
      </c>
      <c r="AR41" s="7">
        <f t="shared" si="10"/>
        <v>3903685.82</v>
      </c>
      <c r="AS41" s="7">
        <f t="shared" si="10"/>
        <v>4738292.1</v>
      </c>
      <c r="AT41" s="7">
        <f t="shared" si="10"/>
        <v>4744172.68</v>
      </c>
      <c r="AU41" s="7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1" s="7"/>
      <c r="AW41" s="7"/>
      <c r="AX41" s="7">
        <f t="shared" si="11"/>
        <v>4324744.325</v>
      </c>
      <c r="AY41" s="7">
        <f t="shared" si="11"/>
        <v>4738292.1</v>
      </c>
      <c r="AZ41" s="7">
        <f t="shared" si="11"/>
        <v>4744172.68</v>
      </c>
      <c r="BA41" s="7">
        <f>-6795.888+69195.988</f>
        <v>62400.1</v>
      </c>
      <c r="BB41" s="7"/>
      <c r="BC41" s="7"/>
      <c r="BD41" s="7">
        <f t="shared" si="12"/>
        <v>4387144.425</v>
      </c>
      <c r="BE41" s="7">
        <f t="shared" si="12"/>
        <v>4738292.1</v>
      </c>
      <c r="BF41" s="7">
        <f t="shared" si="12"/>
        <v>4744172.68</v>
      </c>
      <c r="BG41" s="7">
        <f>-37.109-62400.1+2898+1052.603+6247.942+37.109</f>
        <v>-52201.55499999999</v>
      </c>
      <c r="BH41" s="7"/>
      <c r="BI41" s="7">
        <f t="shared" si="13"/>
        <v>4334942.87</v>
      </c>
      <c r="BJ41" s="7">
        <f t="shared" si="13"/>
        <v>4738292.1</v>
      </c>
      <c r="BK41" s="7">
        <f t="shared" si="14"/>
        <v>4744172.68</v>
      </c>
      <c r="BL41" s="7">
        <f>62400.1-2898-1052.603-6247.942</f>
        <v>52201.55499999999</v>
      </c>
      <c r="BM41" s="7">
        <f t="shared" si="15"/>
        <v>4387144.425</v>
      </c>
      <c r="BN41" s="7">
        <f>-188233.7+8022.6-2500</f>
        <v>-182711.1</v>
      </c>
      <c r="BO41" s="7"/>
      <c r="BP41" s="7"/>
      <c r="BQ41" s="7">
        <f t="shared" si="16"/>
        <v>4204433.325</v>
      </c>
      <c r="BR41" s="7">
        <f t="shared" si="17"/>
        <v>4738292.1</v>
      </c>
      <c r="BS41" s="7">
        <f t="shared" si="17"/>
        <v>4744172.68</v>
      </c>
      <c r="BT41" s="7">
        <v>-8022.6</v>
      </c>
      <c r="BU41" s="7">
        <f t="shared" si="23"/>
        <v>4196410.725000001</v>
      </c>
      <c r="BV41" s="7">
        <f>-24270.5-6000-260.5-850.4-1083.5-6546.462-5312.288+8231.467+1970.3-435.5</f>
        <v>-34557.383</v>
      </c>
      <c r="BW41" s="7">
        <v>6000</v>
      </c>
      <c r="BX41" s="7"/>
      <c r="BY41" s="7">
        <f t="shared" si="18"/>
        <v>4161853.3420000006</v>
      </c>
      <c r="BZ41" s="7">
        <f t="shared" si="19"/>
        <v>4744292.1</v>
      </c>
      <c r="CA41" s="7">
        <f t="shared" si="20"/>
        <v>4744172.68</v>
      </c>
      <c r="CB41" s="7"/>
    </row>
    <row r="42" spans="1:80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21"/>
        <v>-44968.20000000001</v>
      </c>
      <c r="F42" s="7">
        <v>95634.4</v>
      </c>
      <c r="G42" s="7">
        <v>152234.9</v>
      </c>
      <c r="H42" s="7">
        <f t="shared" si="22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3"/>
        <v>103874.9</v>
      </c>
      <c r="S42" s="19"/>
      <c r="T42" s="19"/>
      <c r="U42" s="19"/>
      <c r="V42" s="19">
        <f t="shared" si="4"/>
        <v>95634.4</v>
      </c>
      <c r="W42" s="19">
        <f t="shared" si="5"/>
        <v>94888.3</v>
      </c>
      <c r="X42" s="19">
        <f t="shared" si="5"/>
        <v>103874.9</v>
      </c>
      <c r="Y42" s="7"/>
      <c r="Z42" s="7"/>
      <c r="AA42" s="7"/>
      <c r="AB42" s="19">
        <f t="shared" si="6"/>
        <v>95634.4</v>
      </c>
      <c r="AC42" s="19">
        <f t="shared" si="6"/>
        <v>94888.3</v>
      </c>
      <c r="AD42" s="19">
        <f t="shared" si="6"/>
        <v>103874.9</v>
      </c>
      <c r="AE42" s="7"/>
      <c r="AF42" s="19">
        <f t="shared" si="7"/>
        <v>95634.4</v>
      </c>
      <c r="AG42" s="19">
        <f t="shared" si="8"/>
        <v>94888.3</v>
      </c>
      <c r="AH42" s="19">
        <f t="shared" si="8"/>
        <v>103874.9</v>
      </c>
      <c r="AI42" s="7"/>
      <c r="AJ42" s="7"/>
      <c r="AK42" s="7"/>
      <c r="AL42" s="19">
        <f t="shared" si="9"/>
        <v>95634.4</v>
      </c>
      <c r="AM42" s="19">
        <f t="shared" si="9"/>
        <v>94888.3</v>
      </c>
      <c r="AN42" s="19">
        <f t="shared" si="9"/>
        <v>103874.9</v>
      </c>
      <c r="AO42" s="7"/>
      <c r="AP42" s="7"/>
      <c r="AQ42" s="7"/>
      <c r="AR42" s="7">
        <f t="shared" si="10"/>
        <v>95634.4</v>
      </c>
      <c r="AS42" s="7">
        <f t="shared" si="10"/>
        <v>94888.3</v>
      </c>
      <c r="AT42" s="7">
        <f t="shared" si="10"/>
        <v>103874.9</v>
      </c>
      <c r="AU42" s="7">
        <f>34.614+143.949+10.7+1.712-2712.8+20000</f>
        <v>17478.175</v>
      </c>
      <c r="AV42" s="7"/>
      <c r="AW42" s="7"/>
      <c r="AX42" s="7">
        <f t="shared" si="11"/>
        <v>113112.575</v>
      </c>
      <c r="AY42" s="7">
        <f t="shared" si="11"/>
        <v>94888.3</v>
      </c>
      <c r="AZ42" s="7">
        <f t="shared" si="11"/>
        <v>103874.9</v>
      </c>
      <c r="BA42" s="7"/>
      <c r="BB42" s="7"/>
      <c r="BC42" s="7"/>
      <c r="BD42" s="7">
        <f t="shared" si="12"/>
        <v>113112.575</v>
      </c>
      <c r="BE42" s="7">
        <f t="shared" si="12"/>
        <v>94888.3</v>
      </c>
      <c r="BF42" s="7">
        <f t="shared" si="12"/>
        <v>103874.9</v>
      </c>
      <c r="BG42" s="7"/>
      <c r="BH42" s="7"/>
      <c r="BI42" s="7">
        <f t="shared" si="13"/>
        <v>113112.575</v>
      </c>
      <c r="BJ42" s="7">
        <f t="shared" si="13"/>
        <v>94888.3</v>
      </c>
      <c r="BK42" s="7">
        <f t="shared" si="14"/>
        <v>103874.9</v>
      </c>
      <c r="BL42" s="7"/>
      <c r="BM42" s="7">
        <f t="shared" si="15"/>
        <v>113112.575</v>
      </c>
      <c r="BN42" s="7"/>
      <c r="BO42" s="7"/>
      <c r="BP42" s="7"/>
      <c r="BQ42" s="7">
        <f t="shared" si="16"/>
        <v>113112.575</v>
      </c>
      <c r="BR42" s="7">
        <f t="shared" si="17"/>
        <v>94888.3</v>
      </c>
      <c r="BS42" s="7">
        <f t="shared" si="17"/>
        <v>103874.9</v>
      </c>
      <c r="BT42" s="7"/>
      <c r="BU42" s="7">
        <f t="shared" si="23"/>
        <v>113112.575</v>
      </c>
      <c r="BV42" s="7"/>
      <c r="BW42" s="7"/>
      <c r="BX42" s="7"/>
      <c r="BY42" s="7">
        <f t="shared" si="18"/>
        <v>113112.575</v>
      </c>
      <c r="BZ42" s="7">
        <f t="shared" si="19"/>
        <v>94888.3</v>
      </c>
      <c r="CA42" s="7">
        <f t="shared" si="20"/>
        <v>103874.9</v>
      </c>
      <c r="CB42" s="7"/>
    </row>
    <row r="43" spans="1:80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21"/>
        <v>-33798.40000000002</v>
      </c>
      <c r="F43" s="7">
        <v>233298</v>
      </c>
      <c r="G43" s="7">
        <v>257616.7</v>
      </c>
      <c r="H43" s="7">
        <f t="shared" si="22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3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4"/>
        <v>229207</v>
      </c>
      <c r="W43" s="19">
        <f t="shared" si="5"/>
        <v>177776.4</v>
      </c>
      <c r="X43" s="19">
        <f t="shared" si="5"/>
        <v>178188</v>
      </c>
      <c r="Y43" s="7"/>
      <c r="Z43" s="7"/>
      <c r="AA43" s="7"/>
      <c r="AB43" s="19">
        <f t="shared" si="6"/>
        <v>229207</v>
      </c>
      <c r="AC43" s="19">
        <f t="shared" si="6"/>
        <v>177776.4</v>
      </c>
      <c r="AD43" s="19">
        <f t="shared" si="6"/>
        <v>178188</v>
      </c>
      <c r="AE43" s="7"/>
      <c r="AF43" s="19">
        <f t="shared" si="7"/>
        <v>229207</v>
      </c>
      <c r="AG43" s="19">
        <f t="shared" si="8"/>
        <v>177776.4</v>
      </c>
      <c r="AH43" s="19">
        <f t="shared" si="8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 t="shared" si="9"/>
        <v>213950.16</v>
      </c>
      <c r="AM43" s="19">
        <f t="shared" si="9"/>
        <v>149563.47</v>
      </c>
      <c r="AN43" s="19">
        <f t="shared" si="9"/>
        <v>146924.4</v>
      </c>
      <c r="AO43" s="7">
        <v>2238.42</v>
      </c>
      <c r="AP43" s="7">
        <v>3523.43</v>
      </c>
      <c r="AQ43" s="7">
        <v>3692.12</v>
      </c>
      <c r="AR43" s="7">
        <f t="shared" si="10"/>
        <v>216188.58000000002</v>
      </c>
      <c r="AS43" s="7">
        <f t="shared" si="10"/>
        <v>153086.9</v>
      </c>
      <c r="AT43" s="7">
        <f t="shared" si="10"/>
        <v>150616.52</v>
      </c>
      <c r="AU43" s="7">
        <f>43.142+0.002+0.12+1225.886+30.023+7.457+13.532+1.1+45.996+62400.1+48929.4</f>
        <v>112696.758</v>
      </c>
      <c r="AV43" s="7"/>
      <c r="AW43" s="7"/>
      <c r="AX43" s="7">
        <f t="shared" si="11"/>
        <v>328885.338</v>
      </c>
      <c r="AY43" s="7">
        <f t="shared" si="11"/>
        <v>153086.9</v>
      </c>
      <c r="AZ43" s="7">
        <f t="shared" si="11"/>
        <v>150616.52</v>
      </c>
      <c r="BA43" s="7">
        <v>-62400.1</v>
      </c>
      <c r="BB43" s="7"/>
      <c r="BC43" s="7"/>
      <c r="BD43" s="7">
        <f t="shared" si="12"/>
        <v>266485.238</v>
      </c>
      <c r="BE43" s="7">
        <f t="shared" si="12"/>
        <v>153086.9</v>
      </c>
      <c r="BF43" s="7">
        <f t="shared" si="12"/>
        <v>150616.52</v>
      </c>
      <c r="BG43" s="7">
        <f>-161.9+500+34380.5+17653.4+1.067</f>
        <v>52373.067</v>
      </c>
      <c r="BH43" s="7"/>
      <c r="BI43" s="7">
        <f t="shared" si="13"/>
        <v>318858.305</v>
      </c>
      <c r="BJ43" s="7">
        <f t="shared" si="13"/>
        <v>153086.9</v>
      </c>
      <c r="BK43" s="7">
        <f t="shared" si="14"/>
        <v>150616.52</v>
      </c>
      <c r="BL43" s="7">
        <f>-34380.5-17653.4</f>
        <v>-52033.9</v>
      </c>
      <c r="BM43" s="7">
        <f t="shared" si="15"/>
        <v>266824.40499999997</v>
      </c>
      <c r="BN43" s="7"/>
      <c r="BO43" s="7"/>
      <c r="BP43" s="7"/>
      <c r="BQ43" s="7">
        <f t="shared" si="16"/>
        <v>266824.40499999997</v>
      </c>
      <c r="BR43" s="7">
        <f t="shared" si="17"/>
        <v>153086.9</v>
      </c>
      <c r="BS43" s="7">
        <f t="shared" si="17"/>
        <v>150616.52</v>
      </c>
      <c r="BT43" s="7">
        <v>8022.6</v>
      </c>
      <c r="BU43" s="7">
        <f t="shared" si="23"/>
        <v>274847.00499999995</v>
      </c>
      <c r="BV43" s="7">
        <f>-4276.3+24270.5-359.8</f>
        <v>19634.4</v>
      </c>
      <c r="BW43" s="7"/>
      <c r="BX43" s="7"/>
      <c r="BY43" s="7">
        <f t="shared" si="18"/>
        <v>294481.40499999997</v>
      </c>
      <c r="BZ43" s="7">
        <f t="shared" si="19"/>
        <v>153086.9</v>
      </c>
      <c r="CA43" s="7">
        <f t="shared" si="20"/>
        <v>150616.52</v>
      </c>
      <c r="CB43" s="7"/>
    </row>
    <row r="44" spans="1:80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21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22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3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4"/>
        <v>629057.05</v>
      </c>
      <c r="W44" s="18">
        <f t="shared" si="5"/>
        <v>454799.1</v>
      </c>
      <c r="X44" s="18">
        <f t="shared" si="5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6"/>
        <v>627807.05</v>
      </c>
      <c r="AC44" s="18">
        <f t="shared" si="6"/>
        <v>454799.1</v>
      </c>
      <c r="AD44" s="18">
        <f t="shared" si="6"/>
        <v>432729.8</v>
      </c>
      <c r="AE44" s="15">
        <f>SUM(AE45:AE46)</f>
        <v>-1250</v>
      </c>
      <c r="AF44" s="18">
        <f t="shared" si="7"/>
        <v>626557.05</v>
      </c>
      <c r="AG44" s="18">
        <f t="shared" si="8"/>
        <v>454799.1</v>
      </c>
      <c r="AH44" s="18">
        <f t="shared" si="8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9"/>
        <v>627676.25</v>
      </c>
      <c r="AM44" s="18">
        <f t="shared" si="9"/>
        <v>455917.1</v>
      </c>
      <c r="AN44" s="18">
        <f t="shared" si="9"/>
        <v>433847.8</v>
      </c>
      <c r="AO44" s="15">
        <f>SUM(AO45:AO46)</f>
        <v>0</v>
      </c>
      <c r="AP44" s="15">
        <f>SUM(AP45:AP46)</f>
        <v>0</v>
      </c>
      <c r="AQ44" s="15">
        <f>SUM(AQ45:AQ46)</f>
        <v>0</v>
      </c>
      <c r="AR44" s="15">
        <f t="shared" si="10"/>
        <v>627676.25</v>
      </c>
      <c r="AS44" s="15">
        <f t="shared" si="10"/>
        <v>455917.1</v>
      </c>
      <c r="AT44" s="15">
        <f t="shared" si="10"/>
        <v>433847.8</v>
      </c>
      <c r="AU44" s="15">
        <f>SUM(AU45:AU46)</f>
        <v>112997.58200000001</v>
      </c>
      <c r="AV44" s="15">
        <f>SUM(AV45:AV46)</f>
        <v>0</v>
      </c>
      <c r="AW44" s="15">
        <f>SUM(AW45:AW46)</f>
        <v>0</v>
      </c>
      <c r="AX44" s="15">
        <f t="shared" si="11"/>
        <v>740673.832</v>
      </c>
      <c r="AY44" s="15">
        <f t="shared" si="11"/>
        <v>455917.1</v>
      </c>
      <c r="AZ44" s="15">
        <f t="shared" si="11"/>
        <v>433847.8</v>
      </c>
      <c r="BA44" s="15">
        <f>SUM(BA45:BA46)</f>
        <v>0</v>
      </c>
      <c r="BB44" s="15">
        <f>SUM(BB45:BB46)</f>
        <v>0</v>
      </c>
      <c r="BC44" s="15">
        <f>SUM(BC45:BC46)</f>
        <v>0</v>
      </c>
      <c r="BD44" s="15">
        <f t="shared" si="12"/>
        <v>740673.832</v>
      </c>
      <c r="BE44" s="15">
        <f t="shared" si="12"/>
        <v>455917.1</v>
      </c>
      <c r="BF44" s="15">
        <f t="shared" si="12"/>
        <v>433847.8</v>
      </c>
      <c r="BG44" s="15">
        <f>SUM(BG45:BG46)</f>
        <v>0</v>
      </c>
      <c r="BH44" s="15">
        <f>SUM(BH45:BH46)</f>
        <v>0</v>
      </c>
      <c r="BI44" s="15">
        <f t="shared" si="13"/>
        <v>740673.832</v>
      </c>
      <c r="BJ44" s="15">
        <f t="shared" si="13"/>
        <v>455917.1</v>
      </c>
      <c r="BK44" s="15">
        <f t="shared" si="14"/>
        <v>433847.8</v>
      </c>
      <c r="BL44" s="15">
        <f>SUM(BL45:BL46)</f>
        <v>0</v>
      </c>
      <c r="BM44" s="15">
        <f t="shared" si="15"/>
        <v>740673.832</v>
      </c>
      <c r="BN44" s="15">
        <f>SUM(BN45:BN46)</f>
        <v>48346.55</v>
      </c>
      <c r="BO44" s="15">
        <f>SUM(BO45:BO46)</f>
        <v>0</v>
      </c>
      <c r="BP44" s="15">
        <f>SUM(BP45:BP46)</f>
        <v>0</v>
      </c>
      <c r="BQ44" s="15">
        <f t="shared" si="16"/>
        <v>789020.3820000001</v>
      </c>
      <c r="BR44" s="15">
        <f t="shared" si="17"/>
        <v>455917.1</v>
      </c>
      <c r="BS44" s="15">
        <f t="shared" si="17"/>
        <v>433847.8</v>
      </c>
      <c r="BT44" s="15">
        <f>SUM(BT45:BT46)</f>
        <v>-1457.195</v>
      </c>
      <c r="BU44" s="15">
        <f t="shared" si="23"/>
        <v>787563.1870000002</v>
      </c>
      <c r="BV44" s="15">
        <f>SUM(BV45:BV46)</f>
        <v>140326.51499999998</v>
      </c>
      <c r="BW44" s="15">
        <f>SUM(BW45:BW46)</f>
        <v>18913.44</v>
      </c>
      <c r="BX44" s="15">
        <f>SUM(BX45:BX46)</f>
        <v>0</v>
      </c>
      <c r="BY44" s="15">
        <f t="shared" si="18"/>
        <v>927889.7020000002</v>
      </c>
      <c r="BZ44" s="15">
        <f t="shared" si="19"/>
        <v>474830.54</v>
      </c>
      <c r="CA44" s="15">
        <f t="shared" si="20"/>
        <v>433847.8</v>
      </c>
      <c r="CB44" s="15">
        <f>SUM(CB45:CB46)</f>
        <v>0</v>
      </c>
    </row>
    <row r="45" spans="1:80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21"/>
        <v>47990.60000000009</v>
      </c>
      <c r="F45" s="7">
        <f>617161.8-4000</f>
        <v>613161.8</v>
      </c>
      <c r="G45" s="7">
        <v>575621.7</v>
      </c>
      <c r="H45" s="7">
        <f t="shared" si="22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3"/>
        <v>423019.3</v>
      </c>
      <c r="S45" s="19">
        <f>1264.4</f>
        <v>1264.4</v>
      </c>
      <c r="T45" s="19"/>
      <c r="U45" s="19"/>
      <c r="V45" s="19">
        <f t="shared" si="4"/>
        <v>614202.05</v>
      </c>
      <c r="W45" s="19">
        <f t="shared" si="5"/>
        <v>445013.6</v>
      </c>
      <c r="X45" s="19">
        <f t="shared" si="5"/>
        <v>423019.3</v>
      </c>
      <c r="Y45" s="7">
        <f>-1250</f>
        <v>-1250</v>
      </c>
      <c r="Z45" s="7"/>
      <c r="AA45" s="7"/>
      <c r="AB45" s="19">
        <f t="shared" si="6"/>
        <v>612952.05</v>
      </c>
      <c r="AC45" s="19">
        <f t="shared" si="6"/>
        <v>445013.6</v>
      </c>
      <c r="AD45" s="19">
        <f t="shared" si="6"/>
        <v>423019.3</v>
      </c>
      <c r="AE45" s="7">
        <f>-90000-35000-1250+90000+35000</f>
        <v>-1250</v>
      </c>
      <c r="AF45" s="19">
        <f t="shared" si="7"/>
        <v>611702.05</v>
      </c>
      <c r="AG45" s="19">
        <f t="shared" si="8"/>
        <v>445013.6</v>
      </c>
      <c r="AH45" s="19">
        <f t="shared" si="8"/>
        <v>423019.3</v>
      </c>
      <c r="AI45" s="7">
        <v>1119.2</v>
      </c>
      <c r="AJ45" s="7">
        <v>1118</v>
      </c>
      <c r="AK45" s="7">
        <v>1118</v>
      </c>
      <c r="AL45" s="19">
        <f t="shared" si="9"/>
        <v>612821.25</v>
      </c>
      <c r="AM45" s="19">
        <f t="shared" si="9"/>
        <v>446131.6</v>
      </c>
      <c r="AN45" s="19">
        <f t="shared" si="9"/>
        <v>424137.3</v>
      </c>
      <c r="AO45" s="7"/>
      <c r="AP45" s="7"/>
      <c r="AQ45" s="7"/>
      <c r="AR45" s="7">
        <f t="shared" si="10"/>
        <v>612821.25</v>
      </c>
      <c r="AS45" s="7">
        <f t="shared" si="10"/>
        <v>446131.6</v>
      </c>
      <c r="AT45" s="7">
        <f t="shared" si="10"/>
        <v>424137.3</v>
      </c>
      <c r="AU45" s="7">
        <f>-61.085-35.53+130.346+28.163+904.511+3042.675+39.693+3950.972+41.728+81.715+6.787+104849.2</f>
        <v>112979.175</v>
      </c>
      <c r="AV45" s="7"/>
      <c r="AW45" s="7"/>
      <c r="AX45" s="7">
        <f t="shared" si="11"/>
        <v>725800.425</v>
      </c>
      <c r="AY45" s="7">
        <f t="shared" si="11"/>
        <v>446131.6</v>
      </c>
      <c r="AZ45" s="7">
        <f t="shared" si="11"/>
        <v>424137.3</v>
      </c>
      <c r="BA45" s="7"/>
      <c r="BB45" s="7"/>
      <c r="BC45" s="7"/>
      <c r="BD45" s="7">
        <f t="shared" si="12"/>
        <v>725800.425</v>
      </c>
      <c r="BE45" s="7">
        <f t="shared" si="12"/>
        <v>446131.6</v>
      </c>
      <c r="BF45" s="7">
        <f t="shared" si="12"/>
        <v>424137.3</v>
      </c>
      <c r="BG45" s="7"/>
      <c r="BH45" s="7"/>
      <c r="BI45" s="7">
        <f t="shared" si="13"/>
        <v>725800.425</v>
      </c>
      <c r="BJ45" s="7">
        <f t="shared" si="13"/>
        <v>446131.6</v>
      </c>
      <c r="BK45" s="7">
        <f t="shared" si="14"/>
        <v>424137.3</v>
      </c>
      <c r="BL45" s="7"/>
      <c r="BM45" s="7">
        <f t="shared" si="15"/>
        <v>725800.425</v>
      </c>
      <c r="BN45" s="7">
        <f>4500+43846.55</f>
        <v>48346.55</v>
      </c>
      <c r="BO45" s="7"/>
      <c r="BP45" s="7"/>
      <c r="BQ45" s="7">
        <f t="shared" si="16"/>
        <v>774146.9750000001</v>
      </c>
      <c r="BR45" s="7">
        <f t="shared" si="17"/>
        <v>446131.6</v>
      </c>
      <c r="BS45" s="7">
        <f t="shared" si="17"/>
        <v>424137.3</v>
      </c>
      <c r="BT45" s="7">
        <v>-1457.195</v>
      </c>
      <c r="BU45" s="7">
        <f t="shared" si="23"/>
        <v>772689.7800000001</v>
      </c>
      <c r="BV45" s="7">
        <f>341.6-18913.44-2558.84+175822.949-4365.752-0.002-10000</f>
        <v>140326.51499999998</v>
      </c>
      <c r="BW45" s="7">
        <v>18913.44</v>
      </c>
      <c r="BX45" s="7"/>
      <c r="BY45" s="7">
        <f t="shared" si="18"/>
        <v>913016.2950000002</v>
      </c>
      <c r="BZ45" s="7">
        <f t="shared" si="19"/>
        <v>465045.04</v>
      </c>
      <c r="CA45" s="7">
        <f t="shared" si="20"/>
        <v>424137.3</v>
      </c>
      <c r="CB45" s="7"/>
    </row>
    <row r="46" spans="1:80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21"/>
        <v>-1541.7000000000007</v>
      </c>
      <c r="F46" s="7">
        <v>14910</v>
      </c>
      <c r="G46" s="7">
        <v>10168.2</v>
      </c>
      <c r="H46" s="7">
        <f t="shared" si="22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3"/>
        <v>9710.5</v>
      </c>
      <c r="S46" s="19"/>
      <c r="T46" s="19"/>
      <c r="U46" s="19"/>
      <c r="V46" s="19">
        <f t="shared" si="4"/>
        <v>14855</v>
      </c>
      <c r="W46" s="19">
        <f t="shared" si="5"/>
        <v>9785.5</v>
      </c>
      <c r="X46" s="19">
        <f t="shared" si="5"/>
        <v>9710.5</v>
      </c>
      <c r="Y46" s="7"/>
      <c r="Z46" s="7"/>
      <c r="AA46" s="7"/>
      <c r="AB46" s="19">
        <f t="shared" si="6"/>
        <v>14855</v>
      </c>
      <c r="AC46" s="19">
        <f t="shared" si="6"/>
        <v>9785.5</v>
      </c>
      <c r="AD46" s="19">
        <f t="shared" si="6"/>
        <v>9710.5</v>
      </c>
      <c r="AE46" s="7"/>
      <c r="AF46" s="19">
        <f t="shared" si="7"/>
        <v>14855</v>
      </c>
      <c r="AG46" s="19">
        <f t="shared" si="8"/>
        <v>9785.5</v>
      </c>
      <c r="AH46" s="19">
        <f t="shared" si="8"/>
        <v>9710.5</v>
      </c>
      <c r="AI46" s="7"/>
      <c r="AJ46" s="7"/>
      <c r="AK46" s="7"/>
      <c r="AL46" s="19">
        <f t="shared" si="9"/>
        <v>14855</v>
      </c>
      <c r="AM46" s="19">
        <f t="shared" si="9"/>
        <v>9785.5</v>
      </c>
      <c r="AN46" s="19">
        <f t="shared" si="9"/>
        <v>9710.5</v>
      </c>
      <c r="AO46" s="7"/>
      <c r="AP46" s="7"/>
      <c r="AQ46" s="7"/>
      <c r="AR46" s="7">
        <f t="shared" si="10"/>
        <v>14855</v>
      </c>
      <c r="AS46" s="7">
        <f t="shared" si="10"/>
        <v>9785.5</v>
      </c>
      <c r="AT46" s="7">
        <f t="shared" si="10"/>
        <v>9710.5</v>
      </c>
      <c r="AU46" s="7">
        <f>0.309+0.175+17.6+0.313+0.01</f>
        <v>18.407000000000004</v>
      </c>
      <c r="AV46" s="7"/>
      <c r="AW46" s="7"/>
      <c r="AX46" s="7">
        <f t="shared" si="11"/>
        <v>14873.407</v>
      </c>
      <c r="AY46" s="7">
        <f t="shared" si="11"/>
        <v>9785.5</v>
      </c>
      <c r="AZ46" s="7">
        <f t="shared" si="11"/>
        <v>9710.5</v>
      </c>
      <c r="BA46" s="7"/>
      <c r="BB46" s="7"/>
      <c r="BC46" s="7"/>
      <c r="BD46" s="7">
        <f t="shared" si="12"/>
        <v>14873.407</v>
      </c>
      <c r="BE46" s="7">
        <f t="shared" si="12"/>
        <v>9785.5</v>
      </c>
      <c r="BF46" s="7">
        <f t="shared" si="12"/>
        <v>9710.5</v>
      </c>
      <c r="BG46" s="7"/>
      <c r="BH46" s="7"/>
      <c r="BI46" s="7">
        <f t="shared" si="13"/>
        <v>14873.407</v>
      </c>
      <c r="BJ46" s="7">
        <f t="shared" si="13"/>
        <v>9785.5</v>
      </c>
      <c r="BK46" s="7">
        <f t="shared" si="14"/>
        <v>9710.5</v>
      </c>
      <c r="BL46" s="7"/>
      <c r="BM46" s="7">
        <f t="shared" si="15"/>
        <v>14873.407</v>
      </c>
      <c r="BN46" s="7"/>
      <c r="BO46" s="7"/>
      <c r="BP46" s="7"/>
      <c r="BQ46" s="7">
        <f t="shared" si="16"/>
        <v>14873.407</v>
      </c>
      <c r="BR46" s="7">
        <f t="shared" si="17"/>
        <v>9785.5</v>
      </c>
      <c r="BS46" s="7">
        <f t="shared" si="17"/>
        <v>9710.5</v>
      </c>
      <c r="BT46" s="7"/>
      <c r="BU46" s="7">
        <f t="shared" si="23"/>
        <v>14873.407</v>
      </c>
      <c r="BV46" s="7"/>
      <c r="BW46" s="7"/>
      <c r="BX46" s="7"/>
      <c r="BY46" s="7">
        <f t="shared" si="18"/>
        <v>14873.407</v>
      </c>
      <c r="BZ46" s="7">
        <f t="shared" si="19"/>
        <v>9785.5</v>
      </c>
      <c r="CA46" s="7">
        <f t="shared" si="20"/>
        <v>9710.5</v>
      </c>
      <c r="CB46" s="7"/>
    </row>
    <row r="47" spans="1:80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21"/>
        <v>-1156660.5</v>
      </c>
      <c r="F47" s="15">
        <f>SUM(F48:F54)</f>
        <v>1783410.5</v>
      </c>
      <c r="G47" s="15">
        <f>SUM(G48:G54)</f>
        <v>3479751.6999999997</v>
      </c>
      <c r="H47" s="15">
        <f t="shared" si="22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3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4"/>
        <v>1860010.1</v>
      </c>
      <c r="W47" s="18">
        <f t="shared" si="5"/>
        <v>2485973.8000000003</v>
      </c>
      <c r="X47" s="18">
        <f t="shared" si="5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6"/>
        <v>1860010.1</v>
      </c>
      <c r="AC47" s="18">
        <f t="shared" si="6"/>
        <v>2485973.8000000003</v>
      </c>
      <c r="AD47" s="18">
        <f t="shared" si="6"/>
        <v>2456801.1000000006</v>
      </c>
      <c r="AE47" s="15">
        <f>SUM(AE48:AE54)</f>
        <v>0</v>
      </c>
      <c r="AF47" s="18">
        <f t="shared" si="7"/>
        <v>1860010.1</v>
      </c>
      <c r="AG47" s="18">
        <f t="shared" si="8"/>
        <v>2485973.8000000003</v>
      </c>
      <c r="AH47" s="18">
        <f t="shared" si="8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9"/>
        <v>1860010.1</v>
      </c>
      <c r="AM47" s="18">
        <f t="shared" si="9"/>
        <v>2485973.8000000003</v>
      </c>
      <c r="AN47" s="18">
        <f t="shared" si="9"/>
        <v>2456801.1000000006</v>
      </c>
      <c r="AO47" s="15">
        <f>SUM(AO48:AO54)</f>
        <v>0</v>
      </c>
      <c r="AP47" s="15">
        <f>SUM(AP48:AP54)</f>
        <v>0</v>
      </c>
      <c r="AQ47" s="15">
        <f>SUM(AQ48:AQ54)</f>
        <v>0</v>
      </c>
      <c r="AR47" s="15">
        <f t="shared" si="10"/>
        <v>1860010.1</v>
      </c>
      <c r="AS47" s="15">
        <f t="shared" si="10"/>
        <v>2485973.8000000003</v>
      </c>
      <c r="AT47" s="15">
        <f t="shared" si="10"/>
        <v>2456801.1000000006</v>
      </c>
      <c r="AU47" s="15">
        <f>SUM(AU48:AU54)</f>
        <v>651241.331</v>
      </c>
      <c r="AV47" s="15">
        <f>SUM(AV48:AV54)</f>
        <v>0</v>
      </c>
      <c r="AW47" s="15">
        <f>SUM(AW48:AW54)</f>
        <v>0</v>
      </c>
      <c r="AX47" s="15">
        <f t="shared" si="11"/>
        <v>2511251.431</v>
      </c>
      <c r="AY47" s="15">
        <f t="shared" si="11"/>
        <v>2485973.8000000003</v>
      </c>
      <c r="AZ47" s="15">
        <f t="shared" si="11"/>
        <v>2456801.1000000006</v>
      </c>
      <c r="BA47" s="15">
        <f>SUM(BA48:BA54)</f>
        <v>0</v>
      </c>
      <c r="BB47" s="15">
        <f>SUM(BB48:BB54)</f>
        <v>0</v>
      </c>
      <c r="BC47" s="15">
        <f>SUM(BC48:BC54)</f>
        <v>0</v>
      </c>
      <c r="BD47" s="15">
        <f t="shared" si="12"/>
        <v>2511251.431</v>
      </c>
      <c r="BE47" s="15">
        <f t="shared" si="12"/>
        <v>2485973.8000000003</v>
      </c>
      <c r="BF47" s="15">
        <f t="shared" si="12"/>
        <v>2456801.1000000006</v>
      </c>
      <c r="BG47" s="15">
        <f>SUM(BG48:BG54)</f>
        <v>-54.34499999999999</v>
      </c>
      <c r="BH47" s="15">
        <f>SUM(BH48:BH54)</f>
        <v>0</v>
      </c>
      <c r="BI47" s="15">
        <f t="shared" si="13"/>
        <v>2511197.0859999997</v>
      </c>
      <c r="BJ47" s="15">
        <f t="shared" si="13"/>
        <v>2485973.8000000003</v>
      </c>
      <c r="BK47" s="15">
        <f t="shared" si="14"/>
        <v>2456801.1000000006</v>
      </c>
      <c r="BL47" s="15">
        <f>SUM(BL48:BL54)</f>
        <v>-167.655</v>
      </c>
      <c r="BM47" s="15">
        <f t="shared" si="15"/>
        <v>2511029.431</v>
      </c>
      <c r="BN47" s="15">
        <f>SUM(BN48:BN54)</f>
        <v>0</v>
      </c>
      <c r="BO47" s="15">
        <f>SUM(BO48:BO54)</f>
        <v>0</v>
      </c>
      <c r="BP47" s="15">
        <f>SUM(BP48:BP54)</f>
        <v>0</v>
      </c>
      <c r="BQ47" s="15">
        <f t="shared" si="16"/>
        <v>2511029.431</v>
      </c>
      <c r="BR47" s="15">
        <f t="shared" si="17"/>
        <v>2485973.8000000003</v>
      </c>
      <c r="BS47" s="15">
        <f t="shared" si="17"/>
        <v>2456801.1000000006</v>
      </c>
      <c r="BT47" s="15">
        <f>SUM(BT48:BT54)</f>
        <v>0</v>
      </c>
      <c r="BU47" s="15">
        <f t="shared" si="23"/>
        <v>2511029.431</v>
      </c>
      <c r="BV47" s="15">
        <f>SUM(BV48:BV54)</f>
        <v>-162937.54</v>
      </c>
      <c r="BW47" s="15">
        <f>SUM(BW48:BW54)</f>
        <v>156076.34</v>
      </c>
      <c r="BX47" s="15">
        <f>SUM(BX48:BX54)</f>
        <v>0</v>
      </c>
      <c r="BY47" s="15">
        <f t="shared" si="18"/>
        <v>2348091.891</v>
      </c>
      <c r="BZ47" s="15">
        <f t="shared" si="19"/>
        <v>2642050.14</v>
      </c>
      <c r="CA47" s="15">
        <f t="shared" si="20"/>
        <v>2456801.1000000006</v>
      </c>
      <c r="CB47" s="15">
        <f>SUM(CB48:CB54)</f>
        <v>0</v>
      </c>
    </row>
    <row r="48" spans="1:80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21"/>
        <v>-613311.6</v>
      </c>
      <c r="F48" s="7">
        <v>891907.6</v>
      </c>
      <c r="G48" s="7">
        <v>1775750.8</v>
      </c>
      <c r="H48" s="7">
        <f t="shared" si="22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3"/>
        <v>1371216.6</v>
      </c>
      <c r="S48" s="19"/>
      <c r="T48" s="19"/>
      <c r="U48" s="19"/>
      <c r="V48" s="19">
        <f t="shared" si="4"/>
        <v>890351.7</v>
      </c>
      <c r="W48" s="19">
        <f t="shared" si="5"/>
        <v>1435071.1</v>
      </c>
      <c r="X48" s="19">
        <f t="shared" si="5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6"/>
        <v>874111.3099999999</v>
      </c>
      <c r="AC48" s="19">
        <f t="shared" si="6"/>
        <v>1433480.144</v>
      </c>
      <c r="AD48" s="19">
        <f t="shared" si="6"/>
        <v>1369613.2170000002</v>
      </c>
      <c r="AE48" s="7">
        <f>2155.8-2155.8</f>
        <v>0</v>
      </c>
      <c r="AF48" s="19">
        <f t="shared" si="7"/>
        <v>874111.3099999999</v>
      </c>
      <c r="AG48" s="19">
        <f t="shared" si="8"/>
        <v>1433480.144</v>
      </c>
      <c r="AH48" s="19">
        <f t="shared" si="8"/>
        <v>1369613.2170000002</v>
      </c>
      <c r="AI48" s="7"/>
      <c r="AJ48" s="7"/>
      <c r="AK48" s="7"/>
      <c r="AL48" s="19">
        <f t="shared" si="9"/>
        <v>874111.3099999999</v>
      </c>
      <c r="AM48" s="19">
        <f t="shared" si="9"/>
        <v>1433480.144</v>
      </c>
      <c r="AN48" s="19">
        <f t="shared" si="9"/>
        <v>1369613.2170000002</v>
      </c>
      <c r="AO48" s="7"/>
      <c r="AP48" s="7"/>
      <c r="AQ48" s="7"/>
      <c r="AR48" s="7">
        <f t="shared" si="10"/>
        <v>874111.3099999999</v>
      </c>
      <c r="AS48" s="7">
        <f t="shared" si="10"/>
        <v>1433480.144</v>
      </c>
      <c r="AT48" s="7">
        <f t="shared" si="10"/>
        <v>1369613.2170000002</v>
      </c>
      <c r="AU48" s="7">
        <f>260+39558.621+4738.824+628.793+250.656+5000+20000+40886.85+10000+129916.15+30000+2000+75000</f>
        <v>358239.894</v>
      </c>
      <c r="AV48" s="7"/>
      <c r="AW48" s="7"/>
      <c r="AX48" s="7">
        <f t="shared" si="11"/>
        <v>1232351.204</v>
      </c>
      <c r="AY48" s="7">
        <f t="shared" si="11"/>
        <v>1433480.144</v>
      </c>
      <c r="AZ48" s="7">
        <f t="shared" si="11"/>
        <v>1369613.2170000002</v>
      </c>
      <c r="BA48" s="7"/>
      <c r="BB48" s="7"/>
      <c r="BC48" s="7"/>
      <c r="BD48" s="7">
        <f t="shared" si="12"/>
        <v>1232351.204</v>
      </c>
      <c r="BE48" s="7">
        <f t="shared" si="12"/>
        <v>1433480.144</v>
      </c>
      <c r="BF48" s="7">
        <f t="shared" si="12"/>
        <v>1369613.2170000002</v>
      </c>
      <c r="BG48" s="7">
        <v>-1386.46</v>
      </c>
      <c r="BH48" s="7"/>
      <c r="BI48" s="7">
        <f t="shared" si="13"/>
        <v>1230964.744</v>
      </c>
      <c r="BJ48" s="7">
        <f t="shared" si="13"/>
        <v>1433480.144</v>
      </c>
      <c r="BK48" s="7">
        <f t="shared" si="14"/>
        <v>1369613.2170000002</v>
      </c>
      <c r="BL48" s="7"/>
      <c r="BM48" s="7">
        <f t="shared" si="15"/>
        <v>1230964.744</v>
      </c>
      <c r="BN48" s="7">
        <f>6669.161-10322.265-618.707</f>
        <v>-4271.811</v>
      </c>
      <c r="BO48" s="7"/>
      <c r="BP48" s="7"/>
      <c r="BQ48" s="7">
        <f t="shared" si="16"/>
        <v>1226692.933</v>
      </c>
      <c r="BR48" s="7">
        <f t="shared" si="17"/>
        <v>1433480.144</v>
      </c>
      <c r="BS48" s="7">
        <f t="shared" si="17"/>
        <v>1369613.2170000002</v>
      </c>
      <c r="BT48" s="7"/>
      <c r="BU48" s="7">
        <f t="shared" si="23"/>
        <v>1226692.933</v>
      </c>
      <c r="BV48" s="7">
        <f>-2701.66-22060-109000</f>
        <v>-133761.66</v>
      </c>
      <c r="BW48" s="7">
        <f>22060+109000</f>
        <v>131060</v>
      </c>
      <c r="BX48" s="7"/>
      <c r="BY48" s="7">
        <f t="shared" si="18"/>
        <v>1092931.273</v>
      </c>
      <c r="BZ48" s="7">
        <f t="shared" si="19"/>
        <v>1564540.144</v>
      </c>
      <c r="CA48" s="7">
        <f t="shared" si="20"/>
        <v>1369613.2170000002</v>
      </c>
      <c r="CB48" s="7"/>
    </row>
    <row r="49" spans="1:80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21"/>
        <v>-461088.4</v>
      </c>
      <c r="F49" s="7">
        <v>218156.6</v>
      </c>
      <c r="G49" s="7">
        <v>886181.5</v>
      </c>
      <c r="H49" s="7">
        <f t="shared" si="22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3"/>
        <v>323199.6</v>
      </c>
      <c r="S49" s="19"/>
      <c r="T49" s="19"/>
      <c r="U49" s="19"/>
      <c r="V49" s="19">
        <f t="shared" si="4"/>
        <v>218156.6</v>
      </c>
      <c r="W49" s="19">
        <f t="shared" si="5"/>
        <v>337353</v>
      </c>
      <c r="X49" s="19">
        <f t="shared" si="5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6"/>
        <v>223396.99000000002</v>
      </c>
      <c r="AC49" s="19">
        <f t="shared" si="6"/>
        <v>338943.956</v>
      </c>
      <c r="AD49" s="19">
        <f t="shared" si="6"/>
        <v>324802.98299999995</v>
      </c>
      <c r="AE49" s="7">
        <f>-1500+1500</f>
        <v>0</v>
      </c>
      <c r="AF49" s="19">
        <f t="shared" si="7"/>
        <v>223396.99000000002</v>
      </c>
      <c r="AG49" s="19">
        <f t="shared" si="8"/>
        <v>338943.956</v>
      </c>
      <c r="AH49" s="19">
        <f t="shared" si="8"/>
        <v>324802.98299999995</v>
      </c>
      <c r="AI49" s="7"/>
      <c r="AJ49" s="7"/>
      <c r="AK49" s="7"/>
      <c r="AL49" s="19">
        <f t="shared" si="9"/>
        <v>223396.99000000002</v>
      </c>
      <c r="AM49" s="19">
        <f t="shared" si="9"/>
        <v>338943.956</v>
      </c>
      <c r="AN49" s="19">
        <f t="shared" si="9"/>
        <v>324802.98299999995</v>
      </c>
      <c r="AO49" s="7"/>
      <c r="AP49" s="7"/>
      <c r="AQ49" s="7"/>
      <c r="AR49" s="7">
        <f t="shared" si="10"/>
        <v>223396.99000000002</v>
      </c>
      <c r="AS49" s="7">
        <f t="shared" si="10"/>
        <v>338943.956</v>
      </c>
      <c r="AT49" s="7">
        <f t="shared" si="10"/>
        <v>324802.98299999995</v>
      </c>
      <c r="AU49" s="7">
        <f>15605.69+5530+789.75-260+29393.008+10.702+9.067+20000+60000+13300+5500+13220+26159.25</f>
        <v>189257.467</v>
      </c>
      <c r="AV49" s="7"/>
      <c r="AW49" s="7"/>
      <c r="AX49" s="7">
        <f t="shared" si="11"/>
        <v>412654.45700000005</v>
      </c>
      <c r="AY49" s="7">
        <f t="shared" si="11"/>
        <v>338943.956</v>
      </c>
      <c r="AZ49" s="7">
        <f t="shared" si="11"/>
        <v>324802.98299999995</v>
      </c>
      <c r="BA49" s="7"/>
      <c r="BB49" s="7"/>
      <c r="BC49" s="7"/>
      <c r="BD49" s="7">
        <f t="shared" si="12"/>
        <v>412654.45700000005</v>
      </c>
      <c r="BE49" s="7">
        <f t="shared" si="12"/>
        <v>338943.956</v>
      </c>
      <c r="BF49" s="7">
        <f t="shared" si="12"/>
        <v>324802.98299999995</v>
      </c>
      <c r="BG49" s="7">
        <v>1386.46</v>
      </c>
      <c r="BH49" s="7"/>
      <c r="BI49" s="7">
        <f t="shared" si="13"/>
        <v>414040.9170000001</v>
      </c>
      <c r="BJ49" s="7">
        <f t="shared" si="13"/>
        <v>338943.956</v>
      </c>
      <c r="BK49" s="7">
        <f t="shared" si="14"/>
        <v>324802.98299999995</v>
      </c>
      <c r="BL49" s="7"/>
      <c r="BM49" s="7">
        <f t="shared" si="15"/>
        <v>414040.9170000001</v>
      </c>
      <c r="BN49" s="7"/>
      <c r="BO49" s="7"/>
      <c r="BP49" s="7"/>
      <c r="BQ49" s="7">
        <f t="shared" si="16"/>
        <v>414040.9170000001</v>
      </c>
      <c r="BR49" s="7">
        <f t="shared" si="17"/>
        <v>338943.956</v>
      </c>
      <c r="BS49" s="7">
        <f t="shared" si="17"/>
        <v>324802.98299999995</v>
      </c>
      <c r="BT49" s="7"/>
      <c r="BU49" s="7">
        <f t="shared" si="23"/>
        <v>414040.9170000001</v>
      </c>
      <c r="BV49" s="7">
        <f>-1760+4461.66-5016.34-20000</f>
        <v>-22314.68</v>
      </c>
      <c r="BW49" s="7">
        <f>5016.34+20000</f>
        <v>25016.34</v>
      </c>
      <c r="BX49" s="7"/>
      <c r="BY49" s="7">
        <f t="shared" si="18"/>
        <v>391726.2370000001</v>
      </c>
      <c r="BZ49" s="7">
        <f t="shared" si="19"/>
        <v>363960.29600000003</v>
      </c>
      <c r="CA49" s="7">
        <f t="shared" si="20"/>
        <v>324802.98299999995</v>
      </c>
      <c r="CB49" s="7"/>
    </row>
    <row r="50" spans="1:80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21"/>
        <v>-59828.79999999999</v>
      </c>
      <c r="F50" s="7">
        <v>448457</v>
      </c>
      <c r="G50" s="7">
        <v>567896</v>
      </c>
      <c r="H50" s="7">
        <f t="shared" si="22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3"/>
        <v>527916.7</v>
      </c>
      <c r="S50" s="19">
        <f>78000.5</f>
        <v>78000.5</v>
      </c>
      <c r="T50" s="19"/>
      <c r="U50" s="19"/>
      <c r="V50" s="19">
        <f t="shared" si="4"/>
        <v>526457.5</v>
      </c>
      <c r="W50" s="19">
        <f t="shared" si="5"/>
        <v>488612.7</v>
      </c>
      <c r="X50" s="19">
        <f t="shared" si="5"/>
        <v>527916.7</v>
      </c>
      <c r="Y50" s="7"/>
      <c r="Z50" s="7"/>
      <c r="AA50" s="7"/>
      <c r="AB50" s="19">
        <f t="shared" si="6"/>
        <v>526457.5</v>
      </c>
      <c r="AC50" s="19">
        <f t="shared" si="6"/>
        <v>488612.7</v>
      </c>
      <c r="AD50" s="19">
        <f t="shared" si="6"/>
        <v>527916.7</v>
      </c>
      <c r="AE50" s="7"/>
      <c r="AF50" s="19">
        <f t="shared" si="7"/>
        <v>526457.5</v>
      </c>
      <c r="AG50" s="19">
        <f t="shared" si="8"/>
        <v>488612.7</v>
      </c>
      <c r="AH50" s="19">
        <f t="shared" si="8"/>
        <v>527916.7</v>
      </c>
      <c r="AI50" s="7"/>
      <c r="AJ50" s="7"/>
      <c r="AK50" s="7"/>
      <c r="AL50" s="19">
        <f t="shared" si="9"/>
        <v>526457.5</v>
      </c>
      <c r="AM50" s="19">
        <f t="shared" si="9"/>
        <v>488612.7</v>
      </c>
      <c r="AN50" s="19">
        <f t="shared" si="9"/>
        <v>527916.7</v>
      </c>
      <c r="AO50" s="7"/>
      <c r="AP50" s="7"/>
      <c r="AQ50" s="7"/>
      <c r="AR50" s="7">
        <f t="shared" si="10"/>
        <v>526457.5</v>
      </c>
      <c r="AS50" s="7">
        <f t="shared" si="10"/>
        <v>488612.7</v>
      </c>
      <c r="AT50" s="7">
        <f t="shared" si="10"/>
        <v>527916.7</v>
      </c>
      <c r="AU50" s="7">
        <f>3.783+0.532+15690.15+4376+2500+800+34500</f>
        <v>57870.465</v>
      </c>
      <c r="AV50" s="7"/>
      <c r="AW50" s="7"/>
      <c r="AX50" s="7">
        <f t="shared" si="11"/>
        <v>584327.965</v>
      </c>
      <c r="AY50" s="7">
        <f t="shared" si="11"/>
        <v>488612.7</v>
      </c>
      <c r="AZ50" s="7">
        <f t="shared" si="11"/>
        <v>527916.7</v>
      </c>
      <c r="BA50" s="7"/>
      <c r="BB50" s="7"/>
      <c r="BC50" s="7"/>
      <c r="BD50" s="7">
        <f t="shared" si="12"/>
        <v>584327.965</v>
      </c>
      <c r="BE50" s="7">
        <f t="shared" si="12"/>
        <v>488612.7</v>
      </c>
      <c r="BF50" s="7">
        <f t="shared" si="12"/>
        <v>527916.7</v>
      </c>
      <c r="BG50" s="7"/>
      <c r="BH50" s="7"/>
      <c r="BI50" s="7">
        <f t="shared" si="13"/>
        <v>584327.965</v>
      </c>
      <c r="BJ50" s="7">
        <f t="shared" si="13"/>
        <v>488612.7</v>
      </c>
      <c r="BK50" s="7">
        <f t="shared" si="14"/>
        <v>527916.7</v>
      </c>
      <c r="BL50" s="7"/>
      <c r="BM50" s="7">
        <f t="shared" si="15"/>
        <v>584327.965</v>
      </c>
      <c r="BN50" s="7"/>
      <c r="BO50" s="7"/>
      <c r="BP50" s="7"/>
      <c r="BQ50" s="7">
        <f t="shared" si="16"/>
        <v>584327.965</v>
      </c>
      <c r="BR50" s="7">
        <f t="shared" si="17"/>
        <v>488612.7</v>
      </c>
      <c r="BS50" s="7">
        <f t="shared" si="17"/>
        <v>527916.7</v>
      </c>
      <c r="BT50" s="7"/>
      <c r="BU50" s="7">
        <f t="shared" si="23"/>
        <v>584327.965</v>
      </c>
      <c r="BV50" s="7">
        <v>-6861.2</v>
      </c>
      <c r="BW50" s="7"/>
      <c r="BX50" s="7"/>
      <c r="BY50" s="7">
        <f t="shared" si="18"/>
        <v>577466.765</v>
      </c>
      <c r="BZ50" s="7">
        <f t="shared" si="19"/>
        <v>488612.7</v>
      </c>
      <c r="CA50" s="7">
        <f t="shared" si="20"/>
        <v>527916.7</v>
      </c>
      <c r="CB50" s="7"/>
    </row>
    <row r="51" spans="1:80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21"/>
        <v>-465</v>
      </c>
      <c r="F51" s="7">
        <v>115724</v>
      </c>
      <c r="G51" s="7">
        <v>138608.8</v>
      </c>
      <c r="H51" s="7">
        <f t="shared" si="22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3"/>
        <v>117519.4</v>
      </c>
      <c r="S51" s="19"/>
      <c r="T51" s="19"/>
      <c r="U51" s="19"/>
      <c r="V51" s="19">
        <f t="shared" si="4"/>
        <v>115724</v>
      </c>
      <c r="W51" s="19">
        <f t="shared" si="5"/>
        <v>113356.9</v>
      </c>
      <c r="X51" s="19">
        <f t="shared" si="5"/>
        <v>117519.4</v>
      </c>
      <c r="Y51" s="7"/>
      <c r="Z51" s="7"/>
      <c r="AA51" s="7"/>
      <c r="AB51" s="19">
        <f t="shared" si="6"/>
        <v>115724</v>
      </c>
      <c r="AC51" s="19">
        <f t="shared" si="6"/>
        <v>113356.9</v>
      </c>
      <c r="AD51" s="19">
        <f t="shared" si="6"/>
        <v>117519.4</v>
      </c>
      <c r="AE51" s="7"/>
      <c r="AF51" s="19">
        <f t="shared" si="7"/>
        <v>115724</v>
      </c>
      <c r="AG51" s="19">
        <f t="shared" si="8"/>
        <v>113356.9</v>
      </c>
      <c r="AH51" s="19">
        <f t="shared" si="8"/>
        <v>117519.4</v>
      </c>
      <c r="AI51" s="7"/>
      <c r="AJ51" s="7"/>
      <c r="AK51" s="7"/>
      <c r="AL51" s="19">
        <f t="shared" si="9"/>
        <v>115724</v>
      </c>
      <c r="AM51" s="19">
        <f t="shared" si="9"/>
        <v>113356.9</v>
      </c>
      <c r="AN51" s="19">
        <f t="shared" si="9"/>
        <v>117519.4</v>
      </c>
      <c r="AO51" s="7"/>
      <c r="AP51" s="7"/>
      <c r="AQ51" s="7"/>
      <c r="AR51" s="7">
        <f t="shared" si="10"/>
        <v>115724</v>
      </c>
      <c r="AS51" s="7">
        <f t="shared" si="10"/>
        <v>113356.9</v>
      </c>
      <c r="AT51" s="7">
        <f t="shared" si="10"/>
        <v>117519.4</v>
      </c>
      <c r="AU51" s="7">
        <f>211.592+9.27+22.734+500+380</f>
        <v>1123.596</v>
      </c>
      <c r="AV51" s="7"/>
      <c r="AW51" s="7"/>
      <c r="AX51" s="7">
        <f t="shared" si="11"/>
        <v>116847.596</v>
      </c>
      <c r="AY51" s="7">
        <f t="shared" si="11"/>
        <v>113356.9</v>
      </c>
      <c r="AZ51" s="7">
        <f t="shared" si="11"/>
        <v>117519.4</v>
      </c>
      <c r="BA51" s="7"/>
      <c r="BB51" s="7"/>
      <c r="BC51" s="7"/>
      <c r="BD51" s="7">
        <f t="shared" si="12"/>
        <v>116847.596</v>
      </c>
      <c r="BE51" s="7">
        <f t="shared" si="12"/>
        <v>113356.9</v>
      </c>
      <c r="BF51" s="7">
        <f t="shared" si="12"/>
        <v>117519.4</v>
      </c>
      <c r="BG51" s="7"/>
      <c r="BH51" s="7"/>
      <c r="BI51" s="7">
        <f t="shared" si="13"/>
        <v>116847.596</v>
      </c>
      <c r="BJ51" s="7">
        <f t="shared" si="13"/>
        <v>113356.9</v>
      </c>
      <c r="BK51" s="7">
        <f t="shared" si="14"/>
        <v>117519.4</v>
      </c>
      <c r="BL51" s="7"/>
      <c r="BM51" s="7">
        <f t="shared" si="15"/>
        <v>116847.596</v>
      </c>
      <c r="BN51" s="7"/>
      <c r="BO51" s="7"/>
      <c r="BP51" s="7"/>
      <c r="BQ51" s="7">
        <f t="shared" si="16"/>
        <v>116847.596</v>
      </c>
      <c r="BR51" s="7">
        <f t="shared" si="17"/>
        <v>113356.9</v>
      </c>
      <c r="BS51" s="7">
        <f t="shared" si="17"/>
        <v>117519.4</v>
      </c>
      <c r="BT51" s="7"/>
      <c r="BU51" s="7">
        <f t="shared" si="23"/>
        <v>116847.596</v>
      </c>
      <c r="BV51" s="7"/>
      <c r="BW51" s="7"/>
      <c r="BX51" s="7"/>
      <c r="BY51" s="7">
        <f t="shared" si="18"/>
        <v>116847.596</v>
      </c>
      <c r="BZ51" s="7">
        <f t="shared" si="19"/>
        <v>113356.9</v>
      </c>
      <c r="CA51" s="7">
        <f t="shared" si="20"/>
        <v>117519.4</v>
      </c>
      <c r="CB51" s="7"/>
    </row>
    <row r="52" spans="1:80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21"/>
        <v>-1648.3999999999978</v>
      </c>
      <c r="F52" s="7">
        <v>16441.4</v>
      </c>
      <c r="G52" s="7">
        <v>19744.7</v>
      </c>
      <c r="H52" s="7">
        <f t="shared" si="22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3"/>
        <v>17017.7</v>
      </c>
      <c r="S52" s="19"/>
      <c r="T52" s="19"/>
      <c r="U52" s="19"/>
      <c r="V52" s="19">
        <f t="shared" si="4"/>
        <v>16441.4</v>
      </c>
      <c r="W52" s="19">
        <f t="shared" si="5"/>
        <v>16562</v>
      </c>
      <c r="X52" s="19">
        <f t="shared" si="5"/>
        <v>17017.7</v>
      </c>
      <c r="Y52" s="7"/>
      <c r="Z52" s="7"/>
      <c r="AA52" s="7"/>
      <c r="AB52" s="19">
        <f t="shared" si="6"/>
        <v>16441.4</v>
      </c>
      <c r="AC52" s="19">
        <f t="shared" si="6"/>
        <v>16562</v>
      </c>
      <c r="AD52" s="19">
        <f t="shared" si="6"/>
        <v>17017.7</v>
      </c>
      <c r="AE52" s="7"/>
      <c r="AF52" s="19">
        <f t="shared" si="7"/>
        <v>16441.4</v>
      </c>
      <c r="AG52" s="19">
        <f t="shared" si="8"/>
        <v>16562</v>
      </c>
      <c r="AH52" s="19">
        <f t="shared" si="8"/>
        <v>17017.7</v>
      </c>
      <c r="AI52" s="7"/>
      <c r="AJ52" s="7"/>
      <c r="AK52" s="7"/>
      <c r="AL52" s="19">
        <f t="shared" si="9"/>
        <v>16441.4</v>
      </c>
      <c r="AM52" s="19">
        <f t="shared" si="9"/>
        <v>16562</v>
      </c>
      <c r="AN52" s="19">
        <f t="shared" si="9"/>
        <v>17017.7</v>
      </c>
      <c r="AO52" s="7"/>
      <c r="AP52" s="7"/>
      <c r="AQ52" s="7"/>
      <c r="AR52" s="7">
        <f t="shared" si="10"/>
        <v>16441.4</v>
      </c>
      <c r="AS52" s="7">
        <f t="shared" si="10"/>
        <v>16562</v>
      </c>
      <c r="AT52" s="7">
        <f t="shared" si="10"/>
        <v>17017.7</v>
      </c>
      <c r="AU52" s="7"/>
      <c r="AV52" s="7"/>
      <c r="AW52" s="7"/>
      <c r="AX52" s="7">
        <f t="shared" si="11"/>
        <v>16441.4</v>
      </c>
      <c r="AY52" s="7">
        <f t="shared" si="11"/>
        <v>16562</v>
      </c>
      <c r="AZ52" s="7">
        <f t="shared" si="11"/>
        <v>17017.7</v>
      </c>
      <c r="BA52" s="7"/>
      <c r="BB52" s="7"/>
      <c r="BC52" s="7"/>
      <c r="BD52" s="7">
        <f t="shared" si="12"/>
        <v>16441.4</v>
      </c>
      <c r="BE52" s="7">
        <f t="shared" si="12"/>
        <v>16562</v>
      </c>
      <c r="BF52" s="7">
        <f t="shared" si="12"/>
        <v>17017.7</v>
      </c>
      <c r="BG52" s="7"/>
      <c r="BH52" s="7"/>
      <c r="BI52" s="7">
        <f t="shared" si="13"/>
        <v>16441.4</v>
      </c>
      <c r="BJ52" s="7">
        <f t="shared" si="13"/>
        <v>16562</v>
      </c>
      <c r="BK52" s="7">
        <f t="shared" si="14"/>
        <v>17017.7</v>
      </c>
      <c r="BL52" s="7"/>
      <c r="BM52" s="7">
        <f t="shared" si="15"/>
        <v>16441.4</v>
      </c>
      <c r="BN52" s="7"/>
      <c r="BO52" s="7"/>
      <c r="BP52" s="7"/>
      <c r="BQ52" s="7">
        <f t="shared" si="16"/>
        <v>16441.4</v>
      </c>
      <c r="BR52" s="7">
        <f t="shared" si="17"/>
        <v>16562</v>
      </c>
      <c r="BS52" s="7">
        <f t="shared" si="17"/>
        <v>17017.7</v>
      </c>
      <c r="BT52" s="7"/>
      <c r="BU52" s="7">
        <f t="shared" si="23"/>
        <v>16441.4</v>
      </c>
      <c r="BV52" s="7"/>
      <c r="BW52" s="7"/>
      <c r="BX52" s="7"/>
      <c r="BY52" s="7">
        <f t="shared" si="18"/>
        <v>16441.4</v>
      </c>
      <c r="BZ52" s="7">
        <f t="shared" si="19"/>
        <v>16562</v>
      </c>
      <c r="CA52" s="7">
        <f t="shared" si="20"/>
        <v>17017.7</v>
      </c>
      <c r="CB52" s="7"/>
    </row>
    <row r="53" spans="1:80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21"/>
        <v>-18220.4</v>
      </c>
      <c r="F53" s="7">
        <f>47285.6+519</f>
        <v>47804.6</v>
      </c>
      <c r="G53" s="7">
        <v>46226.3</v>
      </c>
      <c r="H53" s="7">
        <f t="shared" si="22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3"/>
        <v>56601.4</v>
      </c>
      <c r="S53" s="19"/>
      <c r="T53" s="19"/>
      <c r="U53" s="19"/>
      <c r="V53" s="19">
        <f t="shared" si="4"/>
        <v>47804.6</v>
      </c>
      <c r="W53" s="19">
        <f t="shared" si="5"/>
        <v>52417.4</v>
      </c>
      <c r="X53" s="19">
        <f t="shared" si="5"/>
        <v>56601.4</v>
      </c>
      <c r="Y53" s="7"/>
      <c r="Z53" s="7"/>
      <c r="AA53" s="7"/>
      <c r="AB53" s="19">
        <f t="shared" si="6"/>
        <v>47804.6</v>
      </c>
      <c r="AC53" s="19">
        <f t="shared" si="6"/>
        <v>52417.4</v>
      </c>
      <c r="AD53" s="19">
        <f t="shared" si="6"/>
        <v>56601.4</v>
      </c>
      <c r="AE53" s="7"/>
      <c r="AF53" s="19">
        <f t="shared" si="7"/>
        <v>47804.6</v>
      </c>
      <c r="AG53" s="19">
        <f t="shared" si="8"/>
        <v>52417.4</v>
      </c>
      <c r="AH53" s="19">
        <f t="shared" si="8"/>
        <v>56601.4</v>
      </c>
      <c r="AI53" s="7"/>
      <c r="AJ53" s="7"/>
      <c r="AK53" s="7"/>
      <c r="AL53" s="19">
        <f t="shared" si="9"/>
        <v>47804.6</v>
      </c>
      <c r="AM53" s="19">
        <f t="shared" si="9"/>
        <v>52417.4</v>
      </c>
      <c r="AN53" s="19">
        <f t="shared" si="9"/>
        <v>56601.4</v>
      </c>
      <c r="AO53" s="7"/>
      <c r="AP53" s="7"/>
      <c r="AQ53" s="7"/>
      <c r="AR53" s="7">
        <f t="shared" si="10"/>
        <v>47804.6</v>
      </c>
      <c r="AS53" s="7">
        <f t="shared" si="10"/>
        <v>52417.4</v>
      </c>
      <c r="AT53" s="7">
        <f t="shared" si="10"/>
        <v>56601.4</v>
      </c>
      <c r="AU53" s="7">
        <f>335.525+0.04+0.942+48.59+5.401+7.398+83.456+45.402+31513.643+4913.957+2639.4+5030.37</f>
        <v>44624.124</v>
      </c>
      <c r="AV53" s="7"/>
      <c r="AW53" s="7"/>
      <c r="AX53" s="7">
        <f t="shared" si="11"/>
        <v>92428.724</v>
      </c>
      <c r="AY53" s="7">
        <f t="shared" si="11"/>
        <v>52417.4</v>
      </c>
      <c r="AZ53" s="7">
        <f t="shared" si="11"/>
        <v>56601.4</v>
      </c>
      <c r="BA53" s="7"/>
      <c r="BB53" s="7"/>
      <c r="BC53" s="7"/>
      <c r="BD53" s="7">
        <f t="shared" si="12"/>
        <v>92428.724</v>
      </c>
      <c r="BE53" s="7">
        <f t="shared" si="12"/>
        <v>52417.4</v>
      </c>
      <c r="BF53" s="7">
        <f t="shared" si="12"/>
        <v>56601.4</v>
      </c>
      <c r="BG53" s="7">
        <f>-266.012+44.012+116.537+51.118</f>
        <v>-54.34499999999999</v>
      </c>
      <c r="BH53" s="7"/>
      <c r="BI53" s="7">
        <f t="shared" si="13"/>
        <v>92374.379</v>
      </c>
      <c r="BJ53" s="7">
        <f t="shared" si="13"/>
        <v>52417.4</v>
      </c>
      <c r="BK53" s="7">
        <f t="shared" si="14"/>
        <v>56601.4</v>
      </c>
      <c r="BL53" s="7">
        <f>-116.537-51.118</f>
        <v>-167.655</v>
      </c>
      <c r="BM53" s="7">
        <f t="shared" si="15"/>
        <v>92206.724</v>
      </c>
      <c r="BN53" s="7"/>
      <c r="BO53" s="7"/>
      <c r="BP53" s="7"/>
      <c r="BQ53" s="7">
        <f t="shared" si="16"/>
        <v>92206.724</v>
      </c>
      <c r="BR53" s="7">
        <f t="shared" si="17"/>
        <v>52417.4</v>
      </c>
      <c r="BS53" s="7">
        <f t="shared" si="17"/>
        <v>56601.4</v>
      </c>
      <c r="BT53" s="7"/>
      <c r="BU53" s="7">
        <f t="shared" si="23"/>
        <v>92206.724</v>
      </c>
      <c r="BV53" s="7"/>
      <c r="BW53" s="7"/>
      <c r="BX53" s="7"/>
      <c r="BY53" s="7">
        <f t="shared" si="18"/>
        <v>92206.724</v>
      </c>
      <c r="BZ53" s="7">
        <f t="shared" si="19"/>
        <v>52417.4</v>
      </c>
      <c r="CA53" s="7">
        <f t="shared" si="20"/>
        <v>56601.4</v>
      </c>
      <c r="CB53" s="7"/>
    </row>
    <row r="54" spans="1:80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21"/>
        <v>-2097.899999999994</v>
      </c>
      <c r="F54" s="7">
        <v>44919.3</v>
      </c>
      <c r="G54" s="7">
        <v>45343.6</v>
      </c>
      <c r="H54" s="7">
        <f t="shared" si="22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3"/>
        <v>43329.7</v>
      </c>
      <c r="S54" s="19"/>
      <c r="T54" s="19"/>
      <c r="U54" s="19"/>
      <c r="V54" s="19">
        <f t="shared" si="4"/>
        <v>45074.3</v>
      </c>
      <c r="W54" s="19">
        <f t="shared" si="5"/>
        <v>42600.7</v>
      </c>
      <c r="X54" s="19">
        <f t="shared" si="5"/>
        <v>43329.7</v>
      </c>
      <c r="Y54" s="7">
        <v>11000</v>
      </c>
      <c r="Z54" s="7"/>
      <c r="AA54" s="7"/>
      <c r="AB54" s="19">
        <f t="shared" si="6"/>
        <v>56074.3</v>
      </c>
      <c r="AC54" s="19">
        <f t="shared" si="6"/>
        <v>42600.7</v>
      </c>
      <c r="AD54" s="19">
        <f t="shared" si="6"/>
        <v>43329.7</v>
      </c>
      <c r="AE54" s="7"/>
      <c r="AF54" s="19">
        <f t="shared" si="7"/>
        <v>56074.3</v>
      </c>
      <c r="AG54" s="19">
        <f t="shared" si="8"/>
        <v>42600.7</v>
      </c>
      <c r="AH54" s="19">
        <f t="shared" si="8"/>
        <v>43329.7</v>
      </c>
      <c r="AI54" s="7"/>
      <c r="AJ54" s="7"/>
      <c r="AK54" s="7"/>
      <c r="AL54" s="19">
        <f t="shared" si="9"/>
        <v>56074.3</v>
      </c>
      <c r="AM54" s="19">
        <f t="shared" si="9"/>
        <v>42600.7</v>
      </c>
      <c r="AN54" s="19">
        <f t="shared" si="9"/>
        <v>43329.7</v>
      </c>
      <c r="AO54" s="7"/>
      <c r="AP54" s="7"/>
      <c r="AQ54" s="7"/>
      <c r="AR54" s="7">
        <f t="shared" si="10"/>
        <v>56074.3</v>
      </c>
      <c r="AS54" s="7">
        <f t="shared" si="10"/>
        <v>42600.7</v>
      </c>
      <c r="AT54" s="7">
        <f t="shared" si="10"/>
        <v>43329.7</v>
      </c>
      <c r="AU54" s="7">
        <f>20.127+17.84+3.92+16.896+0.002+67</f>
        <v>125.785</v>
      </c>
      <c r="AV54" s="7"/>
      <c r="AW54" s="7"/>
      <c r="AX54" s="7">
        <f t="shared" si="11"/>
        <v>56200.08500000001</v>
      </c>
      <c r="AY54" s="7">
        <f t="shared" si="11"/>
        <v>42600.7</v>
      </c>
      <c r="AZ54" s="7">
        <f t="shared" si="11"/>
        <v>43329.7</v>
      </c>
      <c r="BA54" s="7"/>
      <c r="BB54" s="7"/>
      <c r="BC54" s="7"/>
      <c r="BD54" s="7">
        <f t="shared" si="12"/>
        <v>56200.08500000001</v>
      </c>
      <c r="BE54" s="7">
        <f t="shared" si="12"/>
        <v>42600.7</v>
      </c>
      <c r="BF54" s="7">
        <f t="shared" si="12"/>
        <v>43329.7</v>
      </c>
      <c r="BG54" s="7"/>
      <c r="BH54" s="7"/>
      <c r="BI54" s="7">
        <f t="shared" si="13"/>
        <v>56200.08500000001</v>
      </c>
      <c r="BJ54" s="7">
        <f t="shared" si="13"/>
        <v>42600.7</v>
      </c>
      <c r="BK54" s="7">
        <f t="shared" si="14"/>
        <v>43329.7</v>
      </c>
      <c r="BL54" s="7"/>
      <c r="BM54" s="7">
        <f t="shared" si="15"/>
        <v>56200.08500000001</v>
      </c>
      <c r="BN54" s="7">
        <f>3653.104+618.707</f>
        <v>4271.811</v>
      </c>
      <c r="BO54" s="7"/>
      <c r="BP54" s="7"/>
      <c r="BQ54" s="7">
        <f t="shared" si="16"/>
        <v>60471.89600000001</v>
      </c>
      <c r="BR54" s="7">
        <f t="shared" si="17"/>
        <v>42600.7</v>
      </c>
      <c r="BS54" s="7">
        <f t="shared" si="17"/>
        <v>43329.7</v>
      </c>
      <c r="BT54" s="7"/>
      <c r="BU54" s="7">
        <f t="shared" si="23"/>
        <v>60471.89600000001</v>
      </c>
      <c r="BV54" s="7"/>
      <c r="BW54" s="7"/>
      <c r="BX54" s="7"/>
      <c r="BY54" s="7">
        <f t="shared" si="18"/>
        <v>60471.89600000001</v>
      </c>
      <c r="BZ54" s="7">
        <f t="shared" si="19"/>
        <v>42600.7</v>
      </c>
      <c r="CA54" s="7">
        <f t="shared" si="20"/>
        <v>43329.7</v>
      </c>
      <c r="CB54" s="7"/>
    </row>
    <row r="55" spans="1:80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21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22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3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4"/>
        <v>918656.75</v>
      </c>
      <c r="W55" s="18">
        <f t="shared" si="5"/>
        <v>874704.9</v>
      </c>
      <c r="X55" s="18">
        <f t="shared" si="5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6"/>
        <v>918656.75</v>
      </c>
      <c r="AC55" s="18">
        <f t="shared" si="6"/>
        <v>874704.9</v>
      </c>
      <c r="AD55" s="18">
        <f t="shared" si="6"/>
        <v>896726.4</v>
      </c>
      <c r="AE55" s="15">
        <f>SUM(AE56:AE59)</f>
        <v>0</v>
      </c>
      <c r="AF55" s="18">
        <f t="shared" si="7"/>
        <v>918656.75</v>
      </c>
      <c r="AG55" s="18">
        <f t="shared" si="8"/>
        <v>874704.9</v>
      </c>
      <c r="AH55" s="18">
        <f t="shared" si="8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9"/>
        <v>917537.55</v>
      </c>
      <c r="AM55" s="18">
        <f t="shared" si="9"/>
        <v>873586.9</v>
      </c>
      <c r="AN55" s="18">
        <f t="shared" si="9"/>
        <v>895608.4</v>
      </c>
      <c r="AO55" s="15">
        <f>SUM(AO56:AO59)</f>
        <v>0</v>
      </c>
      <c r="AP55" s="15">
        <f>SUM(AP56:AP59)</f>
        <v>0</v>
      </c>
      <c r="AQ55" s="15">
        <f>SUM(AQ56:AQ59)</f>
        <v>0</v>
      </c>
      <c r="AR55" s="15">
        <f t="shared" si="10"/>
        <v>917537.55</v>
      </c>
      <c r="AS55" s="15">
        <f t="shared" si="10"/>
        <v>873586.9</v>
      </c>
      <c r="AT55" s="15">
        <f t="shared" si="10"/>
        <v>895608.4</v>
      </c>
      <c r="AU55" s="15">
        <f>SUM(AU56:AU59)</f>
        <v>26990.64</v>
      </c>
      <c r="AV55" s="15">
        <f>SUM(AV56:AV59)</f>
        <v>0</v>
      </c>
      <c r="AW55" s="15">
        <f>SUM(AW56:AW59)</f>
        <v>0</v>
      </c>
      <c r="AX55" s="15">
        <f t="shared" si="11"/>
        <v>944528.1900000001</v>
      </c>
      <c r="AY55" s="15">
        <f t="shared" si="11"/>
        <v>873586.9</v>
      </c>
      <c r="AZ55" s="15">
        <f t="shared" si="11"/>
        <v>895608.4</v>
      </c>
      <c r="BA55" s="15">
        <f>SUM(BA56:BA59)</f>
        <v>0</v>
      </c>
      <c r="BB55" s="15">
        <f>SUM(BB56:BB59)</f>
        <v>0</v>
      </c>
      <c r="BC55" s="15">
        <f>SUM(BC56:BC59)</f>
        <v>0</v>
      </c>
      <c r="BD55" s="15">
        <f t="shared" si="12"/>
        <v>944528.1900000001</v>
      </c>
      <c r="BE55" s="15">
        <f t="shared" si="12"/>
        <v>873586.9</v>
      </c>
      <c r="BF55" s="15">
        <f t="shared" si="12"/>
        <v>895608.4</v>
      </c>
      <c r="BG55" s="15">
        <f>SUM(BG56:BG59)</f>
        <v>396.2</v>
      </c>
      <c r="BH55" s="15">
        <f>SUM(BH56:BH59)</f>
        <v>0</v>
      </c>
      <c r="BI55" s="15">
        <f t="shared" si="13"/>
        <v>944924.39</v>
      </c>
      <c r="BJ55" s="15">
        <f t="shared" si="13"/>
        <v>873586.9</v>
      </c>
      <c r="BK55" s="15">
        <f t="shared" si="14"/>
        <v>895608.4</v>
      </c>
      <c r="BL55" s="15">
        <f>SUM(BL56:BL59)</f>
        <v>0</v>
      </c>
      <c r="BM55" s="15">
        <f t="shared" si="15"/>
        <v>944924.39</v>
      </c>
      <c r="BN55" s="15">
        <f>SUM(BN56:BN59)</f>
        <v>180211.1</v>
      </c>
      <c r="BO55" s="15">
        <f>SUM(BO56:BO59)</f>
        <v>0</v>
      </c>
      <c r="BP55" s="15">
        <f>SUM(BP56:BP59)</f>
        <v>0</v>
      </c>
      <c r="BQ55" s="15">
        <f t="shared" si="16"/>
        <v>1125135.49</v>
      </c>
      <c r="BR55" s="15">
        <f t="shared" si="17"/>
        <v>873586.9</v>
      </c>
      <c r="BS55" s="15">
        <f t="shared" si="17"/>
        <v>895608.4</v>
      </c>
      <c r="BT55" s="15">
        <f>SUM(BT56:BT59)</f>
        <v>0</v>
      </c>
      <c r="BU55" s="15">
        <f t="shared" si="23"/>
        <v>1125135.49</v>
      </c>
      <c r="BV55" s="15">
        <f>SUM(BV56:BV59)</f>
        <v>-1973.8000000000002</v>
      </c>
      <c r="BW55" s="15">
        <f>SUM(BW56:BW59)</f>
        <v>0</v>
      </c>
      <c r="BX55" s="15">
        <f>SUM(BX56:BX59)</f>
        <v>0</v>
      </c>
      <c r="BY55" s="15">
        <f t="shared" si="18"/>
        <v>1123161.69</v>
      </c>
      <c r="BZ55" s="15">
        <f t="shared" si="19"/>
        <v>873586.9</v>
      </c>
      <c r="CA55" s="15">
        <f t="shared" si="20"/>
        <v>895608.4</v>
      </c>
      <c r="CB55" s="15">
        <f>SUM(CB56:CB59)</f>
        <v>0</v>
      </c>
    </row>
    <row r="56" spans="1:80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21"/>
        <v>979.4000000000015</v>
      </c>
      <c r="F56" s="7">
        <v>30236.4</v>
      </c>
      <c r="G56" s="7">
        <v>31118.5</v>
      </c>
      <c r="H56" s="7">
        <f t="shared" si="22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3"/>
        <v>37859.8</v>
      </c>
      <c r="S56" s="19"/>
      <c r="T56" s="19"/>
      <c r="U56" s="19"/>
      <c r="V56" s="19">
        <f t="shared" si="4"/>
        <v>30236.4</v>
      </c>
      <c r="W56" s="19">
        <f t="shared" si="5"/>
        <v>34016</v>
      </c>
      <c r="X56" s="19">
        <f t="shared" si="5"/>
        <v>37859.8</v>
      </c>
      <c r="Y56" s="7"/>
      <c r="Z56" s="7"/>
      <c r="AA56" s="7"/>
      <c r="AB56" s="19">
        <f t="shared" si="6"/>
        <v>30236.4</v>
      </c>
      <c r="AC56" s="19">
        <f t="shared" si="6"/>
        <v>34016</v>
      </c>
      <c r="AD56" s="19">
        <f t="shared" si="6"/>
        <v>37859.8</v>
      </c>
      <c r="AE56" s="7"/>
      <c r="AF56" s="19">
        <f t="shared" si="7"/>
        <v>30236.4</v>
      </c>
      <c r="AG56" s="19">
        <f t="shared" si="8"/>
        <v>34016</v>
      </c>
      <c r="AH56" s="19">
        <f t="shared" si="8"/>
        <v>37859.8</v>
      </c>
      <c r="AI56" s="7"/>
      <c r="AJ56" s="7"/>
      <c r="AK56" s="7"/>
      <c r="AL56" s="19">
        <f t="shared" si="9"/>
        <v>30236.4</v>
      </c>
      <c r="AM56" s="19">
        <f t="shared" si="9"/>
        <v>34016</v>
      </c>
      <c r="AN56" s="19">
        <f t="shared" si="9"/>
        <v>37859.8</v>
      </c>
      <c r="AO56" s="7"/>
      <c r="AP56" s="7"/>
      <c r="AQ56" s="7"/>
      <c r="AR56" s="7">
        <f t="shared" si="10"/>
        <v>30236.4</v>
      </c>
      <c r="AS56" s="7">
        <f t="shared" si="10"/>
        <v>34016</v>
      </c>
      <c r="AT56" s="7">
        <f t="shared" si="10"/>
        <v>37859.8</v>
      </c>
      <c r="AU56" s="7"/>
      <c r="AV56" s="7"/>
      <c r="AW56" s="7"/>
      <c r="AX56" s="7">
        <f t="shared" si="11"/>
        <v>30236.4</v>
      </c>
      <c r="AY56" s="7">
        <f t="shared" si="11"/>
        <v>34016</v>
      </c>
      <c r="AZ56" s="7">
        <f t="shared" si="11"/>
        <v>37859.8</v>
      </c>
      <c r="BA56" s="7"/>
      <c r="BB56" s="7"/>
      <c r="BC56" s="7"/>
      <c r="BD56" s="7">
        <f t="shared" si="12"/>
        <v>30236.4</v>
      </c>
      <c r="BE56" s="7">
        <f t="shared" si="12"/>
        <v>34016</v>
      </c>
      <c r="BF56" s="7">
        <f t="shared" si="12"/>
        <v>37859.8</v>
      </c>
      <c r="BG56" s="7"/>
      <c r="BH56" s="7"/>
      <c r="BI56" s="7">
        <f t="shared" si="13"/>
        <v>30236.4</v>
      </c>
      <c r="BJ56" s="7">
        <f t="shared" si="13"/>
        <v>34016</v>
      </c>
      <c r="BK56" s="7">
        <f t="shared" si="14"/>
        <v>37859.8</v>
      </c>
      <c r="BL56" s="7"/>
      <c r="BM56" s="7">
        <f t="shared" si="15"/>
        <v>30236.4</v>
      </c>
      <c r="BN56" s="7"/>
      <c r="BO56" s="7"/>
      <c r="BP56" s="7"/>
      <c r="BQ56" s="7">
        <f t="shared" si="16"/>
        <v>30236.4</v>
      </c>
      <c r="BR56" s="7">
        <f t="shared" si="17"/>
        <v>34016</v>
      </c>
      <c r="BS56" s="7">
        <f t="shared" si="17"/>
        <v>37859.8</v>
      </c>
      <c r="BT56" s="7"/>
      <c r="BU56" s="7">
        <f t="shared" si="23"/>
        <v>30236.4</v>
      </c>
      <c r="BV56" s="7"/>
      <c r="BW56" s="7"/>
      <c r="BX56" s="7"/>
      <c r="BY56" s="7">
        <f t="shared" si="18"/>
        <v>30236.4</v>
      </c>
      <c r="BZ56" s="7">
        <f t="shared" si="19"/>
        <v>34016</v>
      </c>
      <c r="CA56" s="7">
        <f t="shared" si="20"/>
        <v>37859.8</v>
      </c>
      <c r="CB56" s="7"/>
    </row>
    <row r="57" spans="1:80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21"/>
        <v>59552.09999999998</v>
      </c>
      <c r="F57" s="7">
        <v>579377.7</v>
      </c>
      <c r="G57" s="7">
        <v>580251.3</v>
      </c>
      <c r="H57" s="7">
        <f t="shared" si="22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3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4"/>
        <v>598955.5</v>
      </c>
      <c r="W57" s="19">
        <f t="shared" si="5"/>
        <v>546163.3</v>
      </c>
      <c r="X57" s="19">
        <f t="shared" si="5"/>
        <v>547094.3</v>
      </c>
      <c r="Y57" s="7"/>
      <c r="Z57" s="7"/>
      <c r="AA57" s="7"/>
      <c r="AB57" s="19">
        <f t="shared" si="6"/>
        <v>598955.5</v>
      </c>
      <c r="AC57" s="19">
        <f t="shared" si="6"/>
        <v>546163.3</v>
      </c>
      <c r="AD57" s="19">
        <f t="shared" si="6"/>
        <v>547094.3</v>
      </c>
      <c r="AE57" s="7"/>
      <c r="AF57" s="19">
        <f t="shared" si="7"/>
        <v>598955.5</v>
      </c>
      <c r="AG57" s="19">
        <f t="shared" si="8"/>
        <v>546163.3</v>
      </c>
      <c r="AH57" s="19">
        <f t="shared" si="8"/>
        <v>547094.3</v>
      </c>
      <c r="AI57" s="7"/>
      <c r="AJ57" s="7"/>
      <c r="AK57" s="7"/>
      <c r="AL57" s="19">
        <f t="shared" si="9"/>
        <v>598955.5</v>
      </c>
      <c r="AM57" s="19">
        <f t="shared" si="9"/>
        <v>546163.3</v>
      </c>
      <c r="AN57" s="19">
        <f t="shared" si="9"/>
        <v>547094.3</v>
      </c>
      <c r="AO57" s="7"/>
      <c r="AP57" s="7"/>
      <c r="AQ57" s="7"/>
      <c r="AR57" s="7">
        <f t="shared" si="10"/>
        <v>598955.5</v>
      </c>
      <c r="AS57" s="7">
        <f t="shared" si="10"/>
        <v>546163.3</v>
      </c>
      <c r="AT57" s="7">
        <f t="shared" si="10"/>
        <v>547094.3</v>
      </c>
      <c r="AU57" s="7">
        <f>21706.264</f>
        <v>21706.264</v>
      </c>
      <c r="AV57" s="7"/>
      <c r="AW57" s="7"/>
      <c r="AX57" s="7">
        <f t="shared" si="11"/>
        <v>620661.764</v>
      </c>
      <c r="AY57" s="7">
        <f t="shared" si="11"/>
        <v>546163.3</v>
      </c>
      <c r="AZ57" s="7">
        <f t="shared" si="11"/>
        <v>547094.3</v>
      </c>
      <c r="BA57" s="7"/>
      <c r="BB57" s="7"/>
      <c r="BC57" s="7"/>
      <c r="BD57" s="7">
        <f t="shared" si="12"/>
        <v>620661.764</v>
      </c>
      <c r="BE57" s="7">
        <f t="shared" si="12"/>
        <v>546163.3</v>
      </c>
      <c r="BF57" s="7">
        <f t="shared" si="12"/>
        <v>547094.3</v>
      </c>
      <c r="BG57" s="7"/>
      <c r="BH57" s="7"/>
      <c r="BI57" s="7">
        <f t="shared" si="13"/>
        <v>620661.764</v>
      </c>
      <c r="BJ57" s="7">
        <f t="shared" si="13"/>
        <v>546163.3</v>
      </c>
      <c r="BK57" s="7">
        <f t="shared" si="14"/>
        <v>547094.3</v>
      </c>
      <c r="BL57" s="7"/>
      <c r="BM57" s="7">
        <f t="shared" si="15"/>
        <v>620661.764</v>
      </c>
      <c r="BN57" s="7">
        <v>180211.1</v>
      </c>
      <c r="BO57" s="7"/>
      <c r="BP57" s="7"/>
      <c r="BQ57" s="7">
        <f t="shared" si="16"/>
        <v>800872.864</v>
      </c>
      <c r="BR57" s="7">
        <f t="shared" si="17"/>
        <v>546163.3</v>
      </c>
      <c r="BS57" s="7">
        <f t="shared" si="17"/>
        <v>547094.3</v>
      </c>
      <c r="BT57" s="7"/>
      <c r="BU57" s="7">
        <f t="shared" si="23"/>
        <v>800872.864</v>
      </c>
      <c r="BV57" s="7"/>
      <c r="BW57" s="7"/>
      <c r="BX57" s="7"/>
      <c r="BY57" s="7">
        <f t="shared" si="18"/>
        <v>800872.864</v>
      </c>
      <c r="BZ57" s="7">
        <f t="shared" si="19"/>
        <v>546163.3</v>
      </c>
      <c r="CA57" s="7">
        <f t="shared" si="20"/>
        <v>547094.3</v>
      </c>
      <c r="CB57" s="7"/>
    </row>
    <row r="58" spans="1:80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21"/>
        <v>-158720</v>
      </c>
      <c r="F58" s="7">
        <v>28465</v>
      </c>
      <c r="G58" s="7">
        <v>204380</v>
      </c>
      <c r="H58" s="7">
        <f t="shared" si="22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3"/>
        <v>27992</v>
      </c>
      <c r="S58" s="19">
        <v>82685</v>
      </c>
      <c r="T58" s="19">
        <v>93027</v>
      </c>
      <c r="U58" s="19">
        <v>103536</v>
      </c>
      <c r="V58" s="19">
        <f t="shared" si="4"/>
        <v>111150</v>
      </c>
      <c r="W58" s="19">
        <f t="shared" si="5"/>
        <v>121081</v>
      </c>
      <c r="X58" s="19">
        <f t="shared" si="5"/>
        <v>131528</v>
      </c>
      <c r="Y58" s="7"/>
      <c r="Z58" s="7"/>
      <c r="AA58" s="7"/>
      <c r="AB58" s="19">
        <f t="shared" si="6"/>
        <v>111150</v>
      </c>
      <c r="AC58" s="19">
        <f t="shared" si="6"/>
        <v>121081</v>
      </c>
      <c r="AD58" s="19">
        <f t="shared" si="6"/>
        <v>131528</v>
      </c>
      <c r="AE58" s="7"/>
      <c r="AF58" s="19">
        <f t="shared" si="7"/>
        <v>111150</v>
      </c>
      <c r="AG58" s="19">
        <f t="shared" si="8"/>
        <v>121081</v>
      </c>
      <c r="AH58" s="19">
        <f t="shared" si="8"/>
        <v>131528</v>
      </c>
      <c r="AI58" s="7"/>
      <c r="AJ58" s="7"/>
      <c r="AK58" s="7"/>
      <c r="AL58" s="19">
        <f t="shared" si="9"/>
        <v>111150</v>
      </c>
      <c r="AM58" s="19">
        <f t="shared" si="9"/>
        <v>121081</v>
      </c>
      <c r="AN58" s="19">
        <f t="shared" si="9"/>
        <v>131528</v>
      </c>
      <c r="AO58" s="7"/>
      <c r="AP58" s="7"/>
      <c r="AQ58" s="7"/>
      <c r="AR58" s="7">
        <f t="shared" si="10"/>
        <v>111150</v>
      </c>
      <c r="AS58" s="7">
        <f t="shared" si="10"/>
        <v>121081</v>
      </c>
      <c r="AT58" s="7">
        <f t="shared" si="10"/>
        <v>131528</v>
      </c>
      <c r="AU58" s="7"/>
      <c r="AV58" s="7"/>
      <c r="AW58" s="7"/>
      <c r="AX58" s="7">
        <f t="shared" si="11"/>
        <v>111150</v>
      </c>
      <c r="AY58" s="7">
        <f t="shared" si="11"/>
        <v>121081</v>
      </c>
      <c r="AZ58" s="7">
        <f t="shared" si="11"/>
        <v>131528</v>
      </c>
      <c r="BA58" s="7"/>
      <c r="BB58" s="7"/>
      <c r="BC58" s="7"/>
      <c r="BD58" s="7">
        <f t="shared" si="12"/>
        <v>111150</v>
      </c>
      <c r="BE58" s="7">
        <f t="shared" si="12"/>
        <v>121081</v>
      </c>
      <c r="BF58" s="7">
        <f t="shared" si="12"/>
        <v>131528</v>
      </c>
      <c r="BG58" s="7"/>
      <c r="BH58" s="7"/>
      <c r="BI58" s="7">
        <f t="shared" si="13"/>
        <v>111150</v>
      </c>
      <c r="BJ58" s="7">
        <f t="shared" si="13"/>
        <v>121081</v>
      </c>
      <c r="BK58" s="7">
        <f t="shared" si="14"/>
        <v>131528</v>
      </c>
      <c r="BL58" s="7"/>
      <c r="BM58" s="7">
        <f t="shared" si="15"/>
        <v>111150</v>
      </c>
      <c r="BN58" s="7"/>
      <c r="BO58" s="7"/>
      <c r="BP58" s="7"/>
      <c r="BQ58" s="7">
        <f t="shared" si="16"/>
        <v>111150</v>
      </c>
      <c r="BR58" s="7">
        <f t="shared" si="17"/>
        <v>121081</v>
      </c>
      <c r="BS58" s="7">
        <f t="shared" si="17"/>
        <v>131528</v>
      </c>
      <c r="BT58" s="7"/>
      <c r="BU58" s="7">
        <f t="shared" si="23"/>
        <v>111150</v>
      </c>
      <c r="BV58" s="7"/>
      <c r="BW58" s="7"/>
      <c r="BX58" s="7"/>
      <c r="BY58" s="7">
        <f t="shared" si="18"/>
        <v>111150</v>
      </c>
      <c r="BZ58" s="7">
        <f t="shared" si="19"/>
        <v>121081</v>
      </c>
      <c r="CA58" s="7">
        <f t="shared" si="20"/>
        <v>131528</v>
      </c>
      <c r="CB58" s="7"/>
    </row>
    <row r="59" spans="1:80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21"/>
        <v>2807.399999999994</v>
      </c>
      <c r="F59" s="7">
        <v>122660.9</v>
      </c>
      <c r="G59" s="7">
        <v>129133.9</v>
      </c>
      <c r="H59" s="7">
        <f t="shared" si="22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3"/>
        <v>180244.30000000002</v>
      </c>
      <c r="S59" s="19">
        <f>3111.8+331.3+448.3+4210.1</f>
        <v>8101.500000000001</v>
      </c>
      <c r="T59" s="19"/>
      <c r="U59" s="19"/>
      <c r="V59" s="19">
        <f t="shared" si="4"/>
        <v>178314.85</v>
      </c>
      <c r="W59" s="19">
        <f t="shared" si="5"/>
        <v>173444.6</v>
      </c>
      <c r="X59" s="19">
        <f t="shared" si="5"/>
        <v>180244.30000000002</v>
      </c>
      <c r="Y59" s="7"/>
      <c r="Z59" s="7"/>
      <c r="AA59" s="7"/>
      <c r="AB59" s="19">
        <f t="shared" si="6"/>
        <v>178314.85</v>
      </c>
      <c r="AC59" s="19">
        <f t="shared" si="6"/>
        <v>173444.6</v>
      </c>
      <c r="AD59" s="19">
        <f t="shared" si="6"/>
        <v>180244.30000000002</v>
      </c>
      <c r="AE59" s="7"/>
      <c r="AF59" s="19">
        <f t="shared" si="7"/>
        <v>178314.85</v>
      </c>
      <c r="AG59" s="19">
        <f t="shared" si="8"/>
        <v>173444.6</v>
      </c>
      <c r="AH59" s="19">
        <f t="shared" si="8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9"/>
        <v>177195.65</v>
      </c>
      <c r="AM59" s="19">
        <f t="shared" si="9"/>
        <v>172326.6</v>
      </c>
      <c r="AN59" s="19">
        <f t="shared" si="9"/>
        <v>179126.30000000002</v>
      </c>
      <c r="AO59" s="7"/>
      <c r="AP59" s="7"/>
      <c r="AQ59" s="7"/>
      <c r="AR59" s="7">
        <f t="shared" si="10"/>
        <v>177195.65</v>
      </c>
      <c r="AS59" s="7">
        <f t="shared" si="10"/>
        <v>172326.6</v>
      </c>
      <c r="AT59" s="7">
        <f t="shared" si="10"/>
        <v>179126.30000000002</v>
      </c>
      <c r="AU59" s="7">
        <f>0.328+866.8+162.148+4255.1</f>
        <v>5284.376</v>
      </c>
      <c r="AV59" s="7"/>
      <c r="AW59" s="7"/>
      <c r="AX59" s="7">
        <f t="shared" si="11"/>
        <v>182480.02599999998</v>
      </c>
      <c r="AY59" s="7">
        <f t="shared" si="11"/>
        <v>172326.6</v>
      </c>
      <c r="AZ59" s="7">
        <f t="shared" si="11"/>
        <v>179126.30000000002</v>
      </c>
      <c r="BA59" s="7"/>
      <c r="BB59" s="7"/>
      <c r="BC59" s="7"/>
      <c r="BD59" s="7">
        <f t="shared" si="12"/>
        <v>182480.02599999998</v>
      </c>
      <c r="BE59" s="7">
        <f t="shared" si="12"/>
        <v>172326.6</v>
      </c>
      <c r="BF59" s="7">
        <f t="shared" si="12"/>
        <v>179126.30000000002</v>
      </c>
      <c r="BG59" s="7">
        <f>37.109+396.2-37.109</f>
        <v>396.2</v>
      </c>
      <c r="BH59" s="7"/>
      <c r="BI59" s="7">
        <f t="shared" si="13"/>
        <v>182876.226</v>
      </c>
      <c r="BJ59" s="7">
        <f t="shared" si="13"/>
        <v>172326.6</v>
      </c>
      <c r="BK59" s="7">
        <f t="shared" si="14"/>
        <v>179126.30000000002</v>
      </c>
      <c r="BL59" s="7"/>
      <c r="BM59" s="7">
        <f t="shared" si="15"/>
        <v>182876.226</v>
      </c>
      <c r="BN59" s="7"/>
      <c r="BO59" s="7"/>
      <c r="BP59" s="7"/>
      <c r="BQ59" s="7">
        <f t="shared" si="16"/>
        <v>182876.226</v>
      </c>
      <c r="BR59" s="7">
        <f t="shared" si="17"/>
        <v>172326.6</v>
      </c>
      <c r="BS59" s="7">
        <f t="shared" si="17"/>
        <v>179126.30000000002</v>
      </c>
      <c r="BT59" s="7"/>
      <c r="BU59" s="7">
        <f t="shared" si="23"/>
        <v>182876.226</v>
      </c>
      <c r="BV59" s="7">
        <f>4276.3-341.6-1512.4-6.8-4389.3</f>
        <v>-1973.8000000000002</v>
      </c>
      <c r="BW59" s="7"/>
      <c r="BX59" s="7"/>
      <c r="BY59" s="7">
        <f t="shared" si="18"/>
        <v>180902.426</v>
      </c>
      <c r="BZ59" s="7">
        <f t="shared" si="19"/>
        <v>172326.6</v>
      </c>
      <c r="CA59" s="7">
        <f t="shared" si="20"/>
        <v>179126.30000000002</v>
      </c>
      <c r="CB59" s="7"/>
    </row>
    <row r="60" spans="1:80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21"/>
        <v>-18236.900000000023</v>
      </c>
      <c r="F60" s="15">
        <f>SUM(F61:F62)</f>
        <v>500966.3</v>
      </c>
      <c r="G60" s="15">
        <f>SUM(G61:G62)</f>
        <v>569801.9</v>
      </c>
      <c r="H60" s="15">
        <f t="shared" si="22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3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4"/>
        <v>500966.3</v>
      </c>
      <c r="W60" s="18">
        <f t="shared" si="5"/>
        <v>542891.8</v>
      </c>
      <c r="X60" s="18">
        <f t="shared" si="5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6"/>
        <v>500966.3</v>
      </c>
      <c r="AC60" s="18">
        <f t="shared" si="6"/>
        <v>542891.8</v>
      </c>
      <c r="AD60" s="18">
        <f t="shared" si="6"/>
        <v>579471.2</v>
      </c>
      <c r="AE60" s="15">
        <f>SUM(AE61:AE62)</f>
        <v>0</v>
      </c>
      <c r="AF60" s="18">
        <f t="shared" si="7"/>
        <v>500966.3</v>
      </c>
      <c r="AG60" s="18">
        <f t="shared" si="8"/>
        <v>542891.8</v>
      </c>
      <c r="AH60" s="18">
        <f t="shared" si="8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9"/>
        <v>500966.3</v>
      </c>
      <c r="AM60" s="18">
        <f t="shared" si="9"/>
        <v>542891.8</v>
      </c>
      <c r="AN60" s="18">
        <f t="shared" si="9"/>
        <v>579471.2</v>
      </c>
      <c r="AO60" s="15">
        <f>SUM(AO61:AO62)</f>
        <v>0</v>
      </c>
      <c r="AP60" s="15">
        <f>SUM(AP61:AP62)</f>
        <v>0</v>
      </c>
      <c r="AQ60" s="15">
        <f>SUM(AQ61:AQ62)</f>
        <v>0</v>
      </c>
      <c r="AR60" s="15">
        <f t="shared" si="10"/>
        <v>500966.3</v>
      </c>
      <c r="AS60" s="15">
        <f t="shared" si="10"/>
        <v>542891.8</v>
      </c>
      <c r="AT60" s="15">
        <f t="shared" si="10"/>
        <v>579471.2</v>
      </c>
      <c r="AU60" s="15">
        <f>SUM(AU61:AU62)</f>
        <v>0</v>
      </c>
      <c r="AV60" s="15">
        <f>SUM(AV61:AV62)</f>
        <v>0</v>
      </c>
      <c r="AW60" s="15">
        <f>SUM(AW61:AW62)</f>
        <v>0</v>
      </c>
      <c r="AX60" s="15">
        <f t="shared" si="11"/>
        <v>500966.3</v>
      </c>
      <c r="AY60" s="15">
        <f t="shared" si="11"/>
        <v>542891.8</v>
      </c>
      <c r="AZ60" s="15">
        <f t="shared" si="11"/>
        <v>579471.2</v>
      </c>
      <c r="BA60" s="15">
        <f>SUM(BA61:BA62)</f>
        <v>0</v>
      </c>
      <c r="BB60" s="15">
        <f>SUM(BB61:BB62)</f>
        <v>0</v>
      </c>
      <c r="BC60" s="15">
        <f>SUM(BC61:BC62)</f>
        <v>0</v>
      </c>
      <c r="BD60" s="15">
        <f t="shared" si="12"/>
        <v>500966.3</v>
      </c>
      <c r="BE60" s="15">
        <f t="shared" si="12"/>
        <v>542891.8</v>
      </c>
      <c r="BF60" s="15">
        <f t="shared" si="12"/>
        <v>579471.2</v>
      </c>
      <c r="BG60" s="15">
        <f>SUM(BG61:BG62)</f>
        <v>0</v>
      </c>
      <c r="BH60" s="15">
        <f>SUM(BH61:BH62)</f>
        <v>0</v>
      </c>
      <c r="BI60" s="15">
        <f t="shared" si="13"/>
        <v>500966.3</v>
      </c>
      <c r="BJ60" s="15">
        <f t="shared" si="13"/>
        <v>542891.8</v>
      </c>
      <c r="BK60" s="15">
        <f t="shared" si="14"/>
        <v>579471.2</v>
      </c>
      <c r="BL60" s="15">
        <f>SUM(BL61:BL62)</f>
        <v>0</v>
      </c>
      <c r="BM60" s="15">
        <f t="shared" si="15"/>
        <v>500966.3</v>
      </c>
      <c r="BN60" s="15">
        <f>SUM(BN61:BN62)</f>
        <v>0</v>
      </c>
      <c r="BO60" s="15">
        <f>SUM(BO61:BO62)</f>
        <v>0</v>
      </c>
      <c r="BP60" s="15">
        <f>SUM(BP61:BP62)</f>
        <v>0</v>
      </c>
      <c r="BQ60" s="15">
        <f t="shared" si="16"/>
        <v>500966.3</v>
      </c>
      <c r="BR60" s="15">
        <f t="shared" si="17"/>
        <v>542891.8</v>
      </c>
      <c r="BS60" s="15">
        <f t="shared" si="17"/>
        <v>579471.2</v>
      </c>
      <c r="BT60" s="15">
        <f>SUM(BT61:BT62)</f>
        <v>0</v>
      </c>
      <c r="BU60" s="15">
        <f t="shared" si="23"/>
        <v>500966.3</v>
      </c>
      <c r="BV60" s="15">
        <f>SUM(BV61:BV62)</f>
        <v>0</v>
      </c>
      <c r="BW60" s="15">
        <f>SUM(BW61:BW62)</f>
        <v>0</v>
      </c>
      <c r="BX60" s="15">
        <f>SUM(BX61:BX62)</f>
        <v>0</v>
      </c>
      <c r="BY60" s="15">
        <f t="shared" si="18"/>
        <v>500966.3</v>
      </c>
      <c r="BZ60" s="15">
        <f t="shared" si="19"/>
        <v>542891.8</v>
      </c>
      <c r="CA60" s="15">
        <f t="shared" si="20"/>
        <v>579471.2</v>
      </c>
      <c r="CB60" s="15">
        <f>SUM(CB61:CB62)</f>
        <v>0</v>
      </c>
    </row>
    <row r="61" spans="1:80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21"/>
        <v>-519203.2</v>
      </c>
      <c r="F61" s="7"/>
      <c r="G61" s="7">
        <v>569801.9</v>
      </c>
      <c r="H61" s="7">
        <f t="shared" si="22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3"/>
        <v>0</v>
      </c>
      <c r="S61" s="19"/>
      <c r="T61" s="19"/>
      <c r="U61" s="19"/>
      <c r="V61" s="19">
        <f t="shared" si="4"/>
        <v>0</v>
      </c>
      <c r="W61" s="19">
        <f t="shared" si="5"/>
        <v>0</v>
      </c>
      <c r="X61" s="19">
        <f t="shared" si="5"/>
        <v>0</v>
      </c>
      <c r="Y61" s="7"/>
      <c r="Z61" s="7"/>
      <c r="AA61" s="7"/>
      <c r="AB61" s="19">
        <f t="shared" si="6"/>
        <v>0</v>
      </c>
      <c r="AC61" s="19">
        <f t="shared" si="6"/>
        <v>0</v>
      </c>
      <c r="AD61" s="19">
        <f t="shared" si="6"/>
        <v>0</v>
      </c>
      <c r="AE61" s="7"/>
      <c r="AF61" s="19">
        <f t="shared" si="7"/>
        <v>0</v>
      </c>
      <c r="AG61" s="19">
        <f t="shared" si="8"/>
        <v>0</v>
      </c>
      <c r="AH61" s="19">
        <f t="shared" si="8"/>
        <v>0</v>
      </c>
      <c r="AI61" s="7"/>
      <c r="AJ61" s="7"/>
      <c r="AK61" s="7"/>
      <c r="AL61" s="19">
        <f t="shared" si="9"/>
        <v>0</v>
      </c>
      <c r="AM61" s="19">
        <f t="shared" si="9"/>
        <v>0</v>
      </c>
      <c r="AN61" s="19">
        <f t="shared" si="9"/>
        <v>0</v>
      </c>
      <c r="AO61" s="7"/>
      <c r="AP61" s="7"/>
      <c r="AQ61" s="7"/>
      <c r="AR61" s="7">
        <f t="shared" si="10"/>
        <v>0</v>
      </c>
      <c r="AS61" s="7">
        <f t="shared" si="10"/>
        <v>0</v>
      </c>
      <c r="AT61" s="7">
        <f t="shared" si="10"/>
        <v>0</v>
      </c>
      <c r="AU61" s="7"/>
      <c r="AV61" s="7"/>
      <c r="AW61" s="7"/>
      <c r="AX61" s="7">
        <f t="shared" si="11"/>
        <v>0</v>
      </c>
      <c r="AY61" s="7">
        <f t="shared" si="11"/>
        <v>0</v>
      </c>
      <c r="AZ61" s="7">
        <f t="shared" si="11"/>
        <v>0</v>
      </c>
      <c r="BA61" s="7"/>
      <c r="BB61" s="7"/>
      <c r="BC61" s="7"/>
      <c r="BD61" s="7">
        <f t="shared" si="12"/>
        <v>0</v>
      </c>
      <c r="BE61" s="7">
        <f t="shared" si="12"/>
        <v>0</v>
      </c>
      <c r="BF61" s="7">
        <f t="shared" si="12"/>
        <v>0</v>
      </c>
      <c r="BG61" s="7"/>
      <c r="BH61" s="7"/>
      <c r="BI61" s="7">
        <f t="shared" si="13"/>
        <v>0</v>
      </c>
      <c r="BJ61" s="7">
        <f t="shared" si="13"/>
        <v>0</v>
      </c>
      <c r="BK61" s="7">
        <f t="shared" si="14"/>
        <v>0</v>
      </c>
      <c r="BL61" s="7"/>
      <c r="BM61" s="7">
        <f t="shared" si="15"/>
        <v>0</v>
      </c>
      <c r="BN61" s="7"/>
      <c r="BO61" s="7"/>
      <c r="BP61" s="7"/>
      <c r="BQ61" s="7">
        <f t="shared" si="16"/>
        <v>0</v>
      </c>
      <c r="BR61" s="7">
        <f t="shared" si="17"/>
        <v>0</v>
      </c>
      <c r="BS61" s="7">
        <f t="shared" si="17"/>
        <v>0</v>
      </c>
      <c r="BT61" s="7"/>
      <c r="BU61" s="7">
        <f t="shared" si="23"/>
        <v>0</v>
      </c>
      <c r="BV61" s="7"/>
      <c r="BW61" s="7"/>
      <c r="BX61" s="7"/>
      <c r="BY61" s="7">
        <f t="shared" si="18"/>
        <v>0</v>
      </c>
      <c r="BZ61" s="7">
        <f t="shared" si="19"/>
        <v>0</v>
      </c>
      <c r="CA61" s="7">
        <f t="shared" si="20"/>
        <v>0</v>
      </c>
      <c r="CB61" s="7"/>
    </row>
    <row r="62" spans="1:80" ht="15.75">
      <c r="A62" s="10">
        <v>11</v>
      </c>
      <c r="B62" s="8" t="s">
        <v>13</v>
      </c>
      <c r="C62" s="6" t="s">
        <v>73</v>
      </c>
      <c r="D62" s="7"/>
      <c r="E62" s="7">
        <f t="shared" si="21"/>
        <v>500966.3</v>
      </c>
      <c r="F62" s="7">
        <v>500966.3</v>
      </c>
      <c r="G62" s="7"/>
      <c r="H62" s="7">
        <f t="shared" si="22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3"/>
        <v>579471.2</v>
      </c>
      <c r="S62" s="19"/>
      <c r="T62" s="19"/>
      <c r="U62" s="19"/>
      <c r="V62" s="19">
        <f t="shared" si="4"/>
        <v>500966.3</v>
      </c>
      <c r="W62" s="19">
        <f t="shared" si="5"/>
        <v>542891.8</v>
      </c>
      <c r="X62" s="19">
        <f t="shared" si="5"/>
        <v>579471.2</v>
      </c>
      <c r="Y62" s="7"/>
      <c r="Z62" s="7"/>
      <c r="AA62" s="7"/>
      <c r="AB62" s="19">
        <f t="shared" si="6"/>
        <v>500966.3</v>
      </c>
      <c r="AC62" s="19">
        <f t="shared" si="6"/>
        <v>542891.8</v>
      </c>
      <c r="AD62" s="19">
        <f t="shared" si="6"/>
        <v>579471.2</v>
      </c>
      <c r="AE62" s="7"/>
      <c r="AF62" s="19">
        <f t="shared" si="7"/>
        <v>500966.3</v>
      </c>
      <c r="AG62" s="19">
        <f t="shared" si="8"/>
        <v>542891.8</v>
      </c>
      <c r="AH62" s="19">
        <f t="shared" si="8"/>
        <v>579471.2</v>
      </c>
      <c r="AI62" s="7"/>
      <c r="AJ62" s="7"/>
      <c r="AK62" s="7"/>
      <c r="AL62" s="19">
        <f t="shared" si="9"/>
        <v>500966.3</v>
      </c>
      <c r="AM62" s="19">
        <f t="shared" si="9"/>
        <v>542891.8</v>
      </c>
      <c r="AN62" s="19">
        <f t="shared" si="9"/>
        <v>579471.2</v>
      </c>
      <c r="AO62" s="7"/>
      <c r="AP62" s="7"/>
      <c r="AQ62" s="7"/>
      <c r="AR62" s="7">
        <f t="shared" si="10"/>
        <v>500966.3</v>
      </c>
      <c r="AS62" s="7">
        <f t="shared" si="10"/>
        <v>542891.8</v>
      </c>
      <c r="AT62" s="7">
        <f t="shared" si="10"/>
        <v>579471.2</v>
      </c>
      <c r="AU62" s="7"/>
      <c r="AV62" s="7"/>
      <c r="AW62" s="7"/>
      <c r="AX62" s="7">
        <f t="shared" si="11"/>
        <v>500966.3</v>
      </c>
      <c r="AY62" s="7">
        <f t="shared" si="11"/>
        <v>542891.8</v>
      </c>
      <c r="AZ62" s="7">
        <f t="shared" si="11"/>
        <v>579471.2</v>
      </c>
      <c r="BA62" s="7"/>
      <c r="BB62" s="7"/>
      <c r="BC62" s="7"/>
      <c r="BD62" s="7">
        <f t="shared" si="12"/>
        <v>500966.3</v>
      </c>
      <c r="BE62" s="7">
        <f t="shared" si="12"/>
        <v>542891.8</v>
      </c>
      <c r="BF62" s="7">
        <f t="shared" si="12"/>
        <v>579471.2</v>
      </c>
      <c r="BG62" s="7"/>
      <c r="BH62" s="7"/>
      <c r="BI62" s="7">
        <f t="shared" si="13"/>
        <v>500966.3</v>
      </c>
      <c r="BJ62" s="7">
        <f t="shared" si="13"/>
        <v>542891.8</v>
      </c>
      <c r="BK62" s="7">
        <f t="shared" si="14"/>
        <v>579471.2</v>
      </c>
      <c r="BL62" s="7"/>
      <c r="BM62" s="7">
        <f t="shared" si="15"/>
        <v>500966.3</v>
      </c>
      <c r="BN62" s="7"/>
      <c r="BO62" s="7"/>
      <c r="BP62" s="7"/>
      <c r="BQ62" s="7">
        <f t="shared" si="16"/>
        <v>500966.3</v>
      </c>
      <c r="BR62" s="7">
        <f t="shared" si="17"/>
        <v>542891.8</v>
      </c>
      <c r="BS62" s="7">
        <f t="shared" si="17"/>
        <v>579471.2</v>
      </c>
      <c r="BT62" s="7"/>
      <c r="BU62" s="7">
        <f t="shared" si="23"/>
        <v>500966.3</v>
      </c>
      <c r="BV62" s="7"/>
      <c r="BW62" s="7"/>
      <c r="BX62" s="7"/>
      <c r="BY62" s="7">
        <f t="shared" si="18"/>
        <v>500966.3</v>
      </c>
      <c r="BZ62" s="7">
        <f t="shared" si="19"/>
        <v>542891.8</v>
      </c>
      <c r="CA62" s="7">
        <f t="shared" si="20"/>
        <v>579471.2</v>
      </c>
      <c r="CB62" s="7"/>
    </row>
    <row r="63" spans="1:80" s="16" customFormat="1" ht="15.75" hidden="1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21"/>
        <v>-632225.8</v>
      </c>
      <c r="F63" s="15"/>
      <c r="G63" s="15">
        <v>1365558.4</v>
      </c>
      <c r="H63" s="15">
        <f t="shared" si="22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3"/>
        <v>1122434.5</v>
      </c>
      <c r="S63" s="18"/>
      <c r="T63" s="18">
        <v>10618.2</v>
      </c>
      <c r="U63" s="18">
        <v>11973.2</v>
      </c>
      <c r="V63" s="18">
        <f t="shared" si="4"/>
        <v>0</v>
      </c>
      <c r="W63" s="18">
        <f t="shared" si="5"/>
        <v>609704</v>
      </c>
      <c r="X63" s="18">
        <f t="shared" si="5"/>
        <v>1134407.7</v>
      </c>
      <c r="Y63" s="15"/>
      <c r="Z63" s="15"/>
      <c r="AA63" s="15"/>
      <c r="AB63" s="18">
        <f t="shared" si="6"/>
        <v>0</v>
      </c>
      <c r="AC63" s="18">
        <f t="shared" si="6"/>
        <v>609704</v>
      </c>
      <c r="AD63" s="18">
        <f t="shared" si="6"/>
        <v>1134407.7</v>
      </c>
      <c r="AE63" s="15"/>
      <c r="AF63" s="19">
        <f t="shared" si="7"/>
        <v>0</v>
      </c>
      <c r="AG63" s="19">
        <f t="shared" si="8"/>
        <v>609704</v>
      </c>
      <c r="AH63" s="19">
        <f t="shared" si="8"/>
        <v>1134407.7</v>
      </c>
      <c r="AI63" s="15"/>
      <c r="AJ63" s="15">
        <v>-2050.9</v>
      </c>
      <c r="AK63" s="15">
        <v>-2050.9</v>
      </c>
      <c r="AL63" s="18">
        <f t="shared" si="9"/>
        <v>0</v>
      </c>
      <c r="AM63" s="18">
        <f t="shared" si="9"/>
        <v>607653.1</v>
      </c>
      <c r="AN63" s="18">
        <f t="shared" si="9"/>
        <v>1132356.8</v>
      </c>
      <c r="AO63" s="15"/>
      <c r="AP63" s="15"/>
      <c r="AQ63" s="15"/>
      <c r="AR63" s="15">
        <f t="shared" si="10"/>
        <v>0</v>
      </c>
      <c r="AS63" s="15">
        <f t="shared" si="10"/>
        <v>607653.1</v>
      </c>
      <c r="AT63" s="15">
        <f t="shared" si="10"/>
        <v>1132356.8</v>
      </c>
      <c r="AU63" s="15"/>
      <c r="AV63" s="15">
        <v>247043.8</v>
      </c>
      <c r="AW63" s="15">
        <v>408093.6</v>
      </c>
      <c r="AX63" s="15">
        <f t="shared" si="11"/>
        <v>0</v>
      </c>
      <c r="AY63" s="15">
        <f t="shared" si="11"/>
        <v>854696.8999999999</v>
      </c>
      <c r="AZ63" s="15">
        <f t="shared" si="11"/>
        <v>1540450.4</v>
      </c>
      <c r="BA63" s="15"/>
      <c r="BB63" s="15"/>
      <c r="BC63" s="15"/>
      <c r="BD63" s="15">
        <f t="shared" si="12"/>
        <v>0</v>
      </c>
      <c r="BE63" s="15">
        <f t="shared" si="12"/>
        <v>854696.8999999999</v>
      </c>
      <c r="BF63" s="15">
        <f t="shared" si="12"/>
        <v>1540450.4</v>
      </c>
      <c r="BG63" s="15"/>
      <c r="BH63" s="15"/>
      <c r="BI63" s="15">
        <f t="shared" si="13"/>
        <v>0</v>
      </c>
      <c r="BJ63" s="15">
        <f t="shared" si="13"/>
        <v>854696.8999999999</v>
      </c>
      <c r="BK63" s="15">
        <f t="shared" si="14"/>
        <v>1540450.4</v>
      </c>
      <c r="BL63" s="15"/>
      <c r="BM63" s="15">
        <f t="shared" si="15"/>
        <v>0</v>
      </c>
      <c r="BN63" s="15"/>
      <c r="BO63" s="15"/>
      <c r="BP63" s="15"/>
      <c r="BQ63" s="15">
        <f t="shared" si="16"/>
        <v>0</v>
      </c>
      <c r="BR63" s="15">
        <f t="shared" si="17"/>
        <v>854696.8999999999</v>
      </c>
      <c r="BS63" s="15">
        <f t="shared" si="17"/>
        <v>1540450.4</v>
      </c>
      <c r="BT63" s="15"/>
      <c r="BU63" s="15">
        <f t="shared" si="23"/>
        <v>0</v>
      </c>
      <c r="BV63" s="15"/>
      <c r="BW63" s="15">
        <v>94802.896</v>
      </c>
      <c r="BX63" s="15"/>
      <c r="BY63" s="15">
        <f t="shared" si="18"/>
        <v>0</v>
      </c>
      <c r="BZ63" s="15">
        <f t="shared" si="19"/>
        <v>949499.7959999999</v>
      </c>
      <c r="CA63" s="15">
        <f t="shared" si="20"/>
        <v>1540450.4</v>
      </c>
      <c r="CB63" s="15"/>
    </row>
    <row r="64" spans="1:80" s="16" customFormat="1" ht="15.75" hidden="1">
      <c r="A64" s="25"/>
      <c r="B64" s="25"/>
      <c r="C64" s="14" t="s">
        <v>121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8"/>
      <c r="T64" s="18"/>
      <c r="U64" s="18"/>
      <c r="V64" s="18"/>
      <c r="W64" s="18"/>
      <c r="X64" s="18"/>
      <c r="Y64" s="15"/>
      <c r="Z64" s="15"/>
      <c r="AA64" s="15"/>
      <c r="AB64" s="18"/>
      <c r="AC64" s="18"/>
      <c r="AD64" s="18"/>
      <c r="AE64" s="15"/>
      <c r="AF64" s="19"/>
      <c r="AG64" s="19"/>
      <c r="AH64" s="19"/>
      <c r="AI64" s="15"/>
      <c r="AJ64" s="15"/>
      <c r="AK64" s="15"/>
      <c r="AL64" s="18"/>
      <c r="AM64" s="18"/>
      <c r="AN64" s="18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>
        <v>0</v>
      </c>
      <c r="BJ64" s="15">
        <v>0</v>
      </c>
      <c r="BK64" s="15">
        <v>0</v>
      </c>
      <c r="BL64" s="15"/>
      <c r="BM64" s="15">
        <v>0</v>
      </c>
      <c r="BN64" s="15"/>
      <c r="BO64" s="15"/>
      <c r="BP64" s="15"/>
      <c r="BQ64" s="15"/>
      <c r="BR64" s="15"/>
      <c r="BS64" s="15"/>
      <c r="BT64" s="15"/>
      <c r="BU64" s="15">
        <f t="shared" si="23"/>
        <v>0</v>
      </c>
      <c r="BV64" s="15"/>
      <c r="BW64" s="15"/>
      <c r="BX64" s="15"/>
      <c r="BY64" s="15">
        <f t="shared" si="18"/>
        <v>0</v>
      </c>
      <c r="BZ64" s="15">
        <f t="shared" si="19"/>
        <v>0</v>
      </c>
      <c r="CA64" s="15">
        <f t="shared" si="20"/>
        <v>0</v>
      </c>
      <c r="CB64" s="15"/>
    </row>
    <row r="65" spans="1:80" s="16" customFormat="1" ht="15.75">
      <c r="A65" s="26"/>
      <c r="B65" s="13"/>
      <c r="C65" s="14" t="s">
        <v>68</v>
      </c>
      <c r="D65" s="15">
        <f>D63+D60+D55+D47+D44+D39+D35+D30+D26+D22+D14</f>
        <v>20283051.1</v>
      </c>
      <c r="E65" s="15">
        <f t="shared" si="21"/>
        <v>-2667425.9000000022</v>
      </c>
      <c r="F65" s="15">
        <f>F63+F60+F55+F47+F44+F39+F35+F30+F26+F22+F14</f>
        <v>17615625.2</v>
      </c>
      <c r="G65" s="15">
        <f>G63+G60+G55+G47+G44+G39+G35+G30+G26+G22+G14</f>
        <v>21679115.800000004</v>
      </c>
      <c r="H65" s="15">
        <f t="shared" si="22"/>
        <v>-2152889.8000000045</v>
      </c>
      <c r="I65" s="15">
        <f>I63+I60+I55+I47+I44+I39+I35+I30+I26+I22+I14</f>
        <v>19526226</v>
      </c>
      <c r="J65" s="15">
        <f>J63+J60+J55+J47+J44+J39+J35+J30+J26+J22+J14</f>
        <v>20183884.7</v>
      </c>
      <c r="K65" s="15">
        <f>K63+K60+K55+K47+K44+K39+K35+K30+K26+K22+K14</f>
        <v>-91415.09999999999</v>
      </c>
      <c r="L65" s="15">
        <f>L63+L60+L55+L47+L44+L39+L35+L30+L26+L22+L14</f>
        <v>-20082.99999999999</v>
      </c>
      <c r="M65" s="15">
        <f>M63+M60+M55+M47+M44+M39+M35+M30+M26+M22+M14</f>
        <v>-5049.299999999992</v>
      </c>
      <c r="N65" s="15">
        <f>K65+E65</f>
        <v>-2758841.0000000023</v>
      </c>
      <c r="O65" s="15">
        <f>K65+F65</f>
        <v>17524210.099999998</v>
      </c>
      <c r="P65" s="15">
        <f>L65+H65</f>
        <v>-2172972.8000000045</v>
      </c>
      <c r="Q65" s="15">
        <f>L65+I65</f>
        <v>19506143</v>
      </c>
      <c r="R65" s="15">
        <f>M65+J65</f>
        <v>20178835.4</v>
      </c>
      <c r="S65" s="18">
        <f>S63+S60+S55+S47+S44+S39+S35+S30+S26+S22+S14</f>
        <v>361961.29999999993</v>
      </c>
      <c r="T65" s="18">
        <f>T63+T60+T55+T47+T44+T39+T35+T30+T26+T22+T14</f>
        <v>94747.3</v>
      </c>
      <c r="U65" s="18">
        <f>U63+U60+U55+U47+U44+U39+U35+U30+U26+U22+U14</f>
        <v>106089.7</v>
      </c>
      <c r="V65" s="18">
        <f>O65+S65</f>
        <v>17886171.4</v>
      </c>
      <c r="W65" s="18">
        <f>Q65+T65</f>
        <v>19600890.3</v>
      </c>
      <c r="X65" s="18">
        <f>R65+U65</f>
        <v>20284925.099999998</v>
      </c>
      <c r="Y65" s="15">
        <f>Y63+Y60+Y55+Y47+Y44+Y39+Y35+Y30+Y26+Y22+Y14</f>
        <v>0</v>
      </c>
      <c r="Z65" s="15">
        <f>Z63+Z60+Z55+Z47+Z44+Z39+Z35+Z30+Z26+Z22+Z14</f>
        <v>0</v>
      </c>
      <c r="AA65" s="15">
        <f>AA63+AA60+AA55+AA47+AA44+AA39+AA35+AA30+AA26+AA22+AA14</f>
        <v>0</v>
      </c>
      <c r="AB65" s="18">
        <f>V65+Y65</f>
        <v>17886171.4</v>
      </c>
      <c r="AC65" s="18">
        <f>W65+Z65</f>
        <v>19600890.3</v>
      </c>
      <c r="AD65" s="18">
        <f>X65+AA65</f>
        <v>20284925.099999998</v>
      </c>
      <c r="AE65" s="15">
        <f>AE63+AE60+AE55+AE47+AE44+AE39+AE35+AE30+AE26+AE22+AE14</f>
        <v>0</v>
      </c>
      <c r="AF65" s="18">
        <f>AE65+AB65</f>
        <v>17886171.4</v>
      </c>
      <c r="AG65" s="18">
        <f>AC65</f>
        <v>19600890.3</v>
      </c>
      <c r="AH65" s="18">
        <f>AD65</f>
        <v>20284925.099999998</v>
      </c>
      <c r="AI65" s="15">
        <f>AI63+AI60+AI55+AI47+AI44+AI39+AI35+AI30+AI26+AI22+AI14</f>
        <v>0</v>
      </c>
      <c r="AJ65" s="15">
        <f>AJ63+AJ60+AJ55+AJ47+AJ44+AJ39+AJ35+AJ30+AJ26+AJ22+AJ14</f>
        <v>-2050.9</v>
      </c>
      <c r="AK65" s="15">
        <f>AK63+AK60+AK55+AK47+AK44+AK39+AK35+AK30+AK26+AK22+AK14</f>
        <v>-2050.9</v>
      </c>
      <c r="AL65" s="18">
        <f>AF65+AI65</f>
        <v>17886171.4</v>
      </c>
      <c r="AM65" s="18">
        <f>AG65+AJ65</f>
        <v>19598839.400000002</v>
      </c>
      <c r="AN65" s="18">
        <f>AH65+AK65</f>
        <v>20282874.2</v>
      </c>
      <c r="AO65" s="15">
        <f>AO63+AO60+AO55+AO47+AO44+AO39+AO35+AO30+AO26+AO22+AO14</f>
        <v>0</v>
      </c>
      <c r="AP65" s="15">
        <f>AP63+AP60+AP55+AP47+AP44+AP39+AP35+AP30+AP26+AP22+AP14</f>
        <v>0</v>
      </c>
      <c r="AQ65" s="15">
        <f>AQ63+AQ60+AQ55+AQ47+AQ44+AQ39+AQ35+AQ30+AQ26+AQ22+AQ14</f>
        <v>0</v>
      </c>
      <c r="AR65" s="15">
        <f>AL65+AO65</f>
        <v>17886171.4</v>
      </c>
      <c r="AS65" s="15">
        <f>AM65+AP65</f>
        <v>19598839.400000002</v>
      </c>
      <c r="AT65" s="15">
        <f>AN65+AQ65</f>
        <v>20282874.2</v>
      </c>
      <c r="AU65" s="15">
        <f>AU63+AU60+AU55+AU47+AU44+AU39+AU35+AU30+AU26+AU22+AU14</f>
        <v>2994109.807</v>
      </c>
      <c r="AV65" s="15">
        <f>AV63+AV60+AV55+AV47+AV44+AV39+AV35+AV30+AV26+AV22+AV14</f>
        <v>347008.8</v>
      </c>
      <c r="AW65" s="15">
        <f>AW63+AW60+AW55+AW47+AW44+AW39+AW35+AW30+AW26+AW22+AW14</f>
        <v>526511.7</v>
      </c>
      <c r="AX65" s="15">
        <f>AR65+AU65</f>
        <v>20880281.207</v>
      </c>
      <c r="AY65" s="15">
        <f>AS65+AV65</f>
        <v>19945848.200000003</v>
      </c>
      <c r="AZ65" s="15">
        <f>AT65+AW65</f>
        <v>20809385.9</v>
      </c>
      <c r="BA65" s="15">
        <f>BA63+BA60+BA55+BA47+BA44+BA39+BA35+BA30+BA26+BA22+BA14</f>
        <v>0</v>
      </c>
      <c r="BB65" s="15">
        <f>BB63+BB60+BB55+BB47+BB44+BB39+BB35+BB30+BB26+BB22+BB14</f>
        <v>0</v>
      </c>
      <c r="BC65" s="15">
        <f>BC63+BC60+BC55+BC47+BC44+BC39+BC35+BC30+BC26+BC22+BC14</f>
        <v>0</v>
      </c>
      <c r="BD65" s="15">
        <f>AX65+BA65</f>
        <v>20880281.207</v>
      </c>
      <c r="BE65" s="15">
        <f>AY65+BB65</f>
        <v>19945848.200000003</v>
      </c>
      <c r="BF65" s="15">
        <f>AZ65+BC65</f>
        <v>20809385.9</v>
      </c>
      <c r="BG65" s="15">
        <f>BG63+BG60+BG55+BG47+BG44+BG39+BG35+BG30+BG26+BG22+BG14</f>
        <v>572969.0560000001</v>
      </c>
      <c r="BH65" s="15">
        <f>BH63+BH60+BH55+BH47+BH44+BH39+BH35+BH30+BH26+BH22+BH14</f>
        <v>0</v>
      </c>
      <c r="BI65" s="15">
        <f>BD65+BG65</f>
        <v>21453250.263</v>
      </c>
      <c r="BJ65" s="15">
        <f>BE65+BH65</f>
        <v>19945848.200000003</v>
      </c>
      <c r="BK65" s="15">
        <f>BF65</f>
        <v>20809385.9</v>
      </c>
      <c r="BL65" s="15">
        <f>BL63+BL60+BL55+BL47+BL44+BL39+BL35+BL30+BL26+BL22+BL14</f>
        <v>-8.44124770082999E-12</v>
      </c>
      <c r="BM65" s="15">
        <f>BI65+BL65</f>
        <v>21453250.263</v>
      </c>
      <c r="BN65" s="15">
        <f>BN63+BN60+BN55+BN47+BN44+BN39+BN35+BN30+BN26+BN22+BN14+BN64</f>
        <v>5701.21900000001</v>
      </c>
      <c r="BO65" s="15">
        <f>BO63+BO60+BO55+BO47+BO44+BO39+BO35+BO30+BO26+BO22+BO14+BO64</f>
        <v>0</v>
      </c>
      <c r="BP65" s="15">
        <f>BP63+BP60+BP55+BP47+BP44+BP39+BP35+BP30+BP26+BP22+BP14+BP64</f>
        <v>0</v>
      </c>
      <c r="BQ65" s="15">
        <f>BM65+BN65</f>
        <v>21458951.482</v>
      </c>
      <c r="BR65" s="15">
        <f>BJ65+BO65</f>
        <v>19945848.200000003</v>
      </c>
      <c r="BS65" s="15">
        <f>BK65+BP65</f>
        <v>20809385.9</v>
      </c>
      <c r="BT65" s="15">
        <f>BT63+BT60+BT55+BT47+BT44+BT39+BT35+BT30+BT26+BT22+BT14+BT64</f>
        <v>481055</v>
      </c>
      <c r="BU65" s="15">
        <f t="shared" si="23"/>
        <v>21940006.482</v>
      </c>
      <c r="BV65" s="15">
        <f>BV63+BV60+BV55+BV47+BV44+BV39+BV35+BV30+BV26+BV22+BV14+BV64</f>
        <v>-420329.20399999997</v>
      </c>
      <c r="BW65" s="15">
        <f>BW63+BW60+BW55+BW47+BW44+BW39+BW35+BW30+BW26+BW22+BW14+BW64</f>
        <v>515132.1</v>
      </c>
      <c r="BX65" s="15">
        <f>BX63+BX60+BX55+BX47+BX44+BX39+BX35+BX30+BX26+BX22+BX14+BX64</f>
        <v>0</v>
      </c>
      <c r="BY65" s="15">
        <f>BU65+BV65</f>
        <v>21519677.278</v>
      </c>
      <c r="BZ65" s="15">
        <f>BR65+BW65</f>
        <v>20460980.300000004</v>
      </c>
      <c r="CA65" s="15">
        <f>BS65+BX65</f>
        <v>20809385.9</v>
      </c>
      <c r="CB65" s="15">
        <f>CB63+CB60+CB55+CB47+CB44+CB39+CB35+CB30+CB26+CB22+CB14+CB64</f>
        <v>0</v>
      </c>
    </row>
  </sheetData>
  <sheetProtection password="CF5C" sheet="1" objects="1" scenarios="1"/>
  <mergeCells count="79">
    <mergeCell ref="BW12:BW13"/>
    <mergeCell ref="BX12:BX13"/>
    <mergeCell ref="BY12:BY13"/>
    <mergeCell ref="CB12:CB13"/>
    <mergeCell ref="BZ12:BZ13"/>
    <mergeCell ref="CA12:CA13"/>
    <mergeCell ref="BU12:BU13"/>
    <mergeCell ref="BP12:BP13"/>
    <mergeCell ref="BQ12:BQ13"/>
    <mergeCell ref="BR12:BR13"/>
    <mergeCell ref="BS12:BS13"/>
    <mergeCell ref="BV12:BV13"/>
    <mergeCell ref="BN12:BN13"/>
    <mergeCell ref="BO12:BO13"/>
    <mergeCell ref="BH12:BH13"/>
    <mergeCell ref="BI12:BI13"/>
    <mergeCell ref="BJ12:BJ13"/>
    <mergeCell ref="BK12:BK13"/>
    <mergeCell ref="BL12:BL13"/>
    <mergeCell ref="BM12:BM13"/>
    <mergeCell ref="BT12:BT13"/>
    <mergeCell ref="BD12:BD13"/>
    <mergeCell ref="BE12:BE13"/>
    <mergeCell ref="BF12:BF13"/>
    <mergeCell ref="BG12:BG13"/>
    <mergeCell ref="AX12:AX13"/>
    <mergeCell ref="AY12:AY13"/>
    <mergeCell ref="AZ12:AZ13"/>
    <mergeCell ref="BA12:BC12"/>
    <mergeCell ref="AT12:AT13"/>
    <mergeCell ref="AU12:AU13"/>
    <mergeCell ref="AV12:AV13"/>
    <mergeCell ref="AW12:AW13"/>
    <mergeCell ref="AP12:AP13"/>
    <mergeCell ref="AQ12:AQ13"/>
    <mergeCell ref="AR12:AR13"/>
    <mergeCell ref="AS12:AS13"/>
    <mergeCell ref="AL12:AL13"/>
    <mergeCell ref="AM12:AM13"/>
    <mergeCell ref="AN12:AN13"/>
    <mergeCell ref="AO12:AO13"/>
    <mergeCell ref="AH12:AH13"/>
    <mergeCell ref="AI12:AI13"/>
    <mergeCell ref="AJ12:AJ13"/>
    <mergeCell ref="AK12:AK13"/>
    <mergeCell ref="AD12:AD13"/>
    <mergeCell ref="AE12:AE13"/>
    <mergeCell ref="AF12:AF13"/>
    <mergeCell ref="AG12:AG13"/>
    <mergeCell ref="Z12:Z13"/>
    <mergeCell ref="AA12:AA13"/>
    <mergeCell ref="AB12:AB13"/>
    <mergeCell ref="AC12:AC13"/>
    <mergeCell ref="V12:V13"/>
    <mergeCell ref="W12:W13"/>
    <mergeCell ref="X12:X13"/>
    <mergeCell ref="Y12:Y13"/>
    <mergeCell ref="R12:R13"/>
    <mergeCell ref="S12:S13"/>
    <mergeCell ref="T12:T13"/>
    <mergeCell ref="U12:U13"/>
    <mergeCell ref="J12:J13"/>
    <mergeCell ref="K12:M12"/>
    <mergeCell ref="N12:O13"/>
    <mergeCell ref="P12:Q13"/>
    <mergeCell ref="E12:F12"/>
    <mergeCell ref="G12:G13"/>
    <mergeCell ref="H12:I12"/>
    <mergeCell ref="A12:A13"/>
    <mergeCell ref="B12:B13"/>
    <mergeCell ref="C12:C13"/>
    <mergeCell ref="D12:D13"/>
    <mergeCell ref="C6:BY6"/>
    <mergeCell ref="C7:BY7"/>
    <mergeCell ref="A9:BY9"/>
    <mergeCell ref="C1:BY1"/>
    <mergeCell ref="C2:BY2"/>
    <mergeCell ref="C3:BY3"/>
    <mergeCell ref="C5:BY5"/>
  </mergeCells>
  <printOptions/>
  <pageMargins left="0.17" right="0.17" top="0.17" bottom="0.44" header="0.5" footer="0.17"/>
  <pageSetup fitToHeight="2" fitToWidth="1" horizontalDpi="600" verticalDpi="600" orientation="portrait" paperSize="9" scale="9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2010-09-09T11:22:15Z</cp:lastPrinted>
  <dcterms:created xsi:type="dcterms:W3CDTF">2009-10-24T08:23:52Z</dcterms:created>
  <dcterms:modified xsi:type="dcterms:W3CDTF">2010-09-30T03:37:52Z</dcterms:modified>
  <cp:category/>
  <cp:version/>
  <cp:contentType/>
  <cp:contentStatus/>
</cp:coreProperties>
</file>