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ение 9" sheetId="1" r:id="rId1"/>
  </sheets>
  <definedNames>
    <definedName name="_xlnm.Print_Titles" localSheetId="0">'Приложение 9'!$9:$10</definedName>
  </definedNames>
  <calcPr fullCalcOnLoad="1"/>
</workbook>
</file>

<file path=xl/sharedStrings.xml><?xml version="1.0" encoding="utf-8"?>
<sst xmlns="http://schemas.openxmlformats.org/spreadsheetml/2006/main" count="200" uniqueCount="97">
  <si>
    <t>Раздел</t>
  </si>
  <si>
    <t>Подраз-дел</t>
  </si>
  <si>
    <t xml:space="preserve">Наименование </t>
  </si>
  <si>
    <t>изменения</t>
  </si>
  <si>
    <t>Формулы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</si>
  <si>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</si>
  <si>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</si>
  <si>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</si>
  <si>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</si>
  <si>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 и муниципального образования</t>
  </si>
  <si>
    <t>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</si>
  <si>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</si>
  <si>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</si>
  <si>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</si>
  <si>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</si>
  <si>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</si>
  <si>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</t>
  </si>
  <si>
    <t>Обеспечение проведения выборов и референдумов</t>
  </si>
  <si>
    <t>11</t>
  </si>
  <si>
    <t>12</t>
  </si>
  <si>
    <t>Резервные фонды</t>
  </si>
  <si>
    <t>14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</si>
  <si>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</si>
  <si>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</si>
  <si>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</si>
  <si>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</si>
  <si>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</si>
  <si>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</si>
  <si>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</si>
  <si>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</si>
  <si>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08</t>
  </si>
  <si>
    <t>Транспорт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</si>
  <si>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</si>
  <si>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</si>
  <si>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</si>
  <si>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</si>
  <si>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</si>
  <si>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</si>
  <si>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</si>
  <si>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</si>
  <si>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</si>
  <si>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</si>
  <si>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</si>
  <si>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</si>
  <si>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</si>
  <si>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</si>
  <si>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</si>
  <si>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</si>
  <si>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</si>
  <si>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</si>
  <si>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</si>
  <si>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</si>
  <si>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</si>
  <si>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</si>
  <si>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</si>
  <si>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Физическая культура и спорт</t>
  </si>
  <si>
    <t>10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</si>
  <si>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</si>
  <si>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</si>
  <si>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</si>
  <si>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</si>
  <si>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</si>
  <si>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</si>
  <si>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</si>
  <si>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99</t>
  </si>
  <si>
    <t>Условно утвержденные расходы</t>
  </si>
  <si>
    <t>ВСЕГО</t>
  </si>
  <si>
    <t>Другие вопросы в области культуры, кинематографии, средств массовой информации</t>
  </si>
  <si>
    <t>Иные межбюджетные трансферты</t>
  </si>
  <si>
    <t>с учетом изменений</t>
  </si>
  <si>
    <t>2011 год</t>
  </si>
  <si>
    <t>2012 год</t>
  </si>
  <si>
    <t>2012 год (I чтение)</t>
  </si>
  <si>
    <t>2011 год (I чтение)</t>
  </si>
  <si>
    <t>2013 год (I чтение)</t>
  </si>
  <si>
    <t>2011 год (август)</t>
  </si>
  <si>
    <t>2011 год (сентябрь)</t>
  </si>
  <si>
    <t>изменения по 144 РД</t>
  </si>
  <si>
    <t>2012 год (сентябрь)</t>
  </si>
  <si>
    <t>2012 год (август)</t>
  </si>
  <si>
    <t>Поправки ко II чтению</t>
  </si>
  <si>
    <t>2013 год</t>
  </si>
  <si>
    <t>2012 год (II чтение)</t>
  </si>
  <si>
    <t>2013 год (II чтение)</t>
  </si>
  <si>
    <t>13</t>
  </si>
  <si>
    <t>Массовый спорт</t>
  </si>
  <si>
    <t>Другие вопросы в области физической культуры и спорта</t>
  </si>
  <si>
    <t>Физическая культура</t>
  </si>
  <si>
    <t>Другие вопросы в области культуры, кинематографии</t>
  </si>
  <si>
    <t>Другие вопросы в области здравоохранения</t>
  </si>
  <si>
    <t>Судебная система</t>
  </si>
  <si>
    <t xml:space="preserve">2011 год </t>
  </si>
  <si>
    <t>Функциональная структура расходов бюджета города Перми на 2011 год</t>
  </si>
  <si>
    <t>Приложение № 9 к решению</t>
  </si>
  <si>
    <t>Пермской городской Думы</t>
  </si>
  <si>
    <t>от 30.11.2010 № 200</t>
  </si>
  <si>
    <t>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</si>
</sst>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2" fillId="0" borderId="0" xfId="0" applyNumberFormat="1" applyFont="1" applyFill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="75" zoomScaleNormal="75" workbookViewId="0" topLeftCell="A1">
      <selection activeCell="C9" sqref="C9:C10"/>
    </sheetView>
  </sheetViews>
  <sheetFormatPr defaultColWidth="9.00390625" defaultRowHeight="12.75"/>
  <cols>
    <col min="1" max="1" width="8.125" style="1" customWidth="1"/>
    <col min="2" max="2" width="8.75390625" style="2" customWidth="1"/>
    <col min="3" max="3" width="69.875" style="3" customWidth="1"/>
    <col min="4" max="17" width="17.25390625" style="1" hidden="1" customWidth="1"/>
    <col min="18" max="19" width="17.25390625" style="1" customWidth="1"/>
    <col min="20" max="22" width="17.25390625" style="1" hidden="1" customWidth="1"/>
    <col min="23" max="23" width="12.25390625" style="1" hidden="1" customWidth="1"/>
    <col min="24" max="24" width="16.625" style="1" bestFit="1" customWidth="1"/>
    <col min="25" max="16384" width="9.125" style="1" customWidth="1"/>
  </cols>
  <sheetData>
    <row r="1" spans="4:22" ht="15.75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0" t="s">
        <v>93</v>
      </c>
      <c r="S1" s="30"/>
      <c r="T1" s="10"/>
      <c r="U1" s="10"/>
      <c r="V1" s="10"/>
    </row>
    <row r="2" spans="3:22" ht="15.75">
      <c r="C2" s="31" t="s">
        <v>94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0"/>
      <c r="U2" s="10"/>
      <c r="V2" s="10"/>
    </row>
    <row r="3" spans="4:22" ht="15.75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0" t="s">
        <v>95</v>
      </c>
      <c r="S3" s="30"/>
      <c r="T3" s="10"/>
      <c r="U3" s="10"/>
      <c r="V3" s="10"/>
    </row>
    <row r="4" spans="4:22" ht="15.7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6" spans="1:19" ht="15.75" customHeight="1">
      <c r="A6" s="32" t="s">
        <v>92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23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4:22" ht="15.75"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 t="s">
        <v>96</v>
      </c>
      <c r="T8" s="10"/>
      <c r="U8" s="10"/>
      <c r="V8" s="10"/>
    </row>
    <row r="9" spans="1:23" ht="15.75" customHeight="1">
      <c r="A9" s="37" t="s">
        <v>0</v>
      </c>
      <c r="B9" s="37" t="s">
        <v>1</v>
      </c>
      <c r="C9" s="38" t="s">
        <v>2</v>
      </c>
      <c r="D9" s="28" t="s">
        <v>75</v>
      </c>
      <c r="E9" s="28" t="s">
        <v>77</v>
      </c>
      <c r="F9" s="28" t="s">
        <v>76</v>
      </c>
      <c r="G9" s="26" t="s">
        <v>73</v>
      </c>
      <c r="H9" s="27"/>
      <c r="I9" s="28" t="s">
        <v>79</v>
      </c>
      <c r="J9" s="28" t="s">
        <v>77</v>
      </c>
      <c r="K9" s="28" t="s">
        <v>78</v>
      </c>
      <c r="L9" s="26" t="s">
        <v>72</v>
      </c>
      <c r="M9" s="27"/>
      <c r="N9" s="28" t="s">
        <v>74</v>
      </c>
      <c r="O9" s="33" t="s">
        <v>80</v>
      </c>
      <c r="P9" s="34"/>
      <c r="Q9" s="35"/>
      <c r="R9" s="26" t="s">
        <v>91</v>
      </c>
      <c r="S9" s="27"/>
      <c r="T9" s="26" t="s">
        <v>82</v>
      </c>
      <c r="U9" s="27"/>
      <c r="V9" s="28" t="s">
        <v>83</v>
      </c>
      <c r="W9" s="36" t="s">
        <v>4</v>
      </c>
    </row>
    <row r="10" spans="1:23" ht="31.5" customHeight="1">
      <c r="A10" s="37"/>
      <c r="B10" s="37"/>
      <c r="C10" s="38"/>
      <c r="D10" s="29"/>
      <c r="E10" s="29"/>
      <c r="F10" s="29"/>
      <c r="G10" s="16" t="s">
        <v>3</v>
      </c>
      <c r="H10" s="16" t="s">
        <v>69</v>
      </c>
      <c r="I10" s="29"/>
      <c r="J10" s="29"/>
      <c r="K10" s="29"/>
      <c r="L10" s="16" t="s">
        <v>3</v>
      </c>
      <c r="M10" s="16" t="s">
        <v>69</v>
      </c>
      <c r="N10" s="29"/>
      <c r="O10" s="24" t="s">
        <v>70</v>
      </c>
      <c r="P10" s="24" t="s">
        <v>71</v>
      </c>
      <c r="Q10" s="24" t="s">
        <v>81</v>
      </c>
      <c r="R10" s="16" t="s">
        <v>3</v>
      </c>
      <c r="S10" s="16" t="s">
        <v>69</v>
      </c>
      <c r="T10" s="16" t="s">
        <v>3</v>
      </c>
      <c r="U10" s="16" t="s">
        <v>69</v>
      </c>
      <c r="V10" s="29"/>
      <c r="W10" s="36"/>
    </row>
    <row r="11" spans="1:24" s="14" customFormat="1" ht="15.75">
      <c r="A11" s="11" t="s">
        <v>5</v>
      </c>
      <c r="B11" s="11" t="s">
        <v>6</v>
      </c>
      <c r="C11" s="12" t="s">
        <v>7</v>
      </c>
      <c r="D11" s="13">
        <f>SUM(D12:D21)</f>
        <v>1248183.9000000001</v>
      </c>
      <c r="E11" s="13">
        <f>SUM(E12:E21)</f>
        <v>2500.3</v>
      </c>
      <c r="F11" s="6">
        <f aca="true" t="shared" si="0" ref="F11:F67">D11+E11</f>
        <v>1250684.2000000002</v>
      </c>
      <c r="G11" s="13">
        <f>SUM(G12:G21)</f>
        <v>288362.8999999999</v>
      </c>
      <c r="H11" s="13">
        <f>SUM(H12:H21)</f>
        <v>1536546.8</v>
      </c>
      <c r="I11" s="13">
        <f>SUM(I12:I21)</f>
        <v>1247936</v>
      </c>
      <c r="J11" s="13">
        <f>SUM(J12:J21)</f>
        <v>0</v>
      </c>
      <c r="K11" s="6">
        <f aca="true" t="shared" si="1" ref="K11:K67">I11+J11</f>
        <v>1247936</v>
      </c>
      <c r="L11" s="13">
        <f aca="true" t="shared" si="2" ref="L11:Q11">SUM(L12:L21)</f>
        <v>303455.3</v>
      </c>
      <c r="M11" s="13">
        <f t="shared" si="2"/>
        <v>1551391.2999999998</v>
      </c>
      <c r="N11" s="13">
        <f t="shared" si="2"/>
        <v>1494830.8</v>
      </c>
      <c r="O11" s="13">
        <f t="shared" si="2"/>
        <v>27182.20000000007</v>
      </c>
      <c r="P11" s="13">
        <f t="shared" si="2"/>
        <v>50596.00000000012</v>
      </c>
      <c r="Q11" s="13">
        <f t="shared" si="2"/>
        <v>52390.70000000007</v>
      </c>
      <c r="R11" s="13">
        <f aca="true" t="shared" si="3" ref="R11:R67">S11-D11</f>
        <v>315545.09999999986</v>
      </c>
      <c r="S11" s="13">
        <f aca="true" t="shared" si="4" ref="S11:S67">O11+H11</f>
        <v>1563729</v>
      </c>
      <c r="T11" s="6">
        <f aca="true" t="shared" si="5" ref="T11:T67">U11-I11</f>
        <v>354051.2999999998</v>
      </c>
      <c r="U11" s="6">
        <f aca="true" t="shared" si="6" ref="U11:U67">P11+M11</f>
        <v>1601987.2999999998</v>
      </c>
      <c r="V11" s="6">
        <f aca="true" t="shared" si="7" ref="V11:V67">Q11+N11</f>
        <v>1547221.5</v>
      </c>
      <c r="W11" s="13">
        <f>SUM(W12:W21)</f>
        <v>0</v>
      </c>
      <c r="X11" s="21"/>
    </row>
    <row r="12" spans="1:24" ht="31.5">
      <c r="A12" s="4" t="s">
        <v>5</v>
      </c>
      <c r="B12" s="7" t="s">
        <v>8</v>
      </c>
      <c r="C12" s="5" t="s">
        <v>9</v>
      </c>
      <c r="D12" s="6">
        <v>2879.9</v>
      </c>
      <c r="E12" s="6"/>
      <c r="F12" s="6">
        <f t="shared" si="0"/>
        <v>2879.9</v>
      </c>
      <c r="G12" s="6">
        <f>H12-D12</f>
        <v>0</v>
      </c>
      <c r="H12" s="6">
        <v>2879.9</v>
      </c>
      <c r="I12" s="6">
        <v>2879.9</v>
      </c>
      <c r="J12" s="6"/>
      <c r="K12" s="6">
        <f t="shared" si="1"/>
        <v>2879.9</v>
      </c>
      <c r="L12" s="6">
        <f>M12-I12</f>
        <v>0</v>
      </c>
      <c r="M12" s="6">
        <v>2879.9</v>
      </c>
      <c r="N12" s="6">
        <v>2879.9</v>
      </c>
      <c r="O12" s="6"/>
      <c r="P12" s="6"/>
      <c r="Q12" s="6"/>
      <c r="R12" s="6">
        <f t="shared" si="3"/>
        <v>0</v>
      </c>
      <c r="S12" s="6">
        <f t="shared" si="4"/>
        <v>2879.9</v>
      </c>
      <c r="T12" s="6">
        <f t="shared" si="5"/>
        <v>0</v>
      </c>
      <c r="U12" s="6">
        <f t="shared" si="6"/>
        <v>2879.9</v>
      </c>
      <c r="V12" s="6">
        <f t="shared" si="7"/>
        <v>2879.9</v>
      </c>
      <c r="W12" s="6"/>
      <c r="X12" s="21"/>
    </row>
    <row r="13" spans="1:24" ht="47.25">
      <c r="A13" s="4" t="s">
        <v>5</v>
      </c>
      <c r="B13" s="7" t="s">
        <v>10</v>
      </c>
      <c r="C13" s="5" t="s">
        <v>11</v>
      </c>
      <c r="D13" s="6">
        <v>133429</v>
      </c>
      <c r="E13" s="6"/>
      <c r="F13" s="6">
        <f t="shared" si="0"/>
        <v>133429</v>
      </c>
      <c r="G13" s="6">
        <f aca="true" t="shared" si="8" ref="G13:G29">H13-D13</f>
        <v>715.8999999999942</v>
      </c>
      <c r="H13" s="6">
        <v>134144.9</v>
      </c>
      <c r="I13" s="6">
        <v>133429</v>
      </c>
      <c r="J13" s="6"/>
      <c r="K13" s="6">
        <f t="shared" si="1"/>
        <v>133429</v>
      </c>
      <c r="L13" s="6">
        <f aca="true" t="shared" si="9" ref="L13:L67">M13-I13</f>
        <v>6243.600000000006</v>
      </c>
      <c r="M13" s="6">
        <v>139672.6</v>
      </c>
      <c r="N13" s="6">
        <v>144704.7</v>
      </c>
      <c r="O13" s="6">
        <v>7000</v>
      </c>
      <c r="P13" s="6"/>
      <c r="Q13" s="6"/>
      <c r="R13" s="6">
        <f t="shared" si="3"/>
        <v>7715.899999999994</v>
      </c>
      <c r="S13" s="6">
        <f t="shared" si="4"/>
        <v>141144.9</v>
      </c>
      <c r="T13" s="6">
        <f t="shared" si="5"/>
        <v>6243.600000000006</v>
      </c>
      <c r="U13" s="6">
        <f t="shared" si="6"/>
        <v>139672.6</v>
      </c>
      <c r="V13" s="6">
        <f t="shared" si="7"/>
        <v>144704.7</v>
      </c>
      <c r="W13" s="6"/>
      <c r="X13" s="21"/>
    </row>
    <row r="14" spans="1:24" ht="47.25">
      <c r="A14" s="4" t="s">
        <v>5</v>
      </c>
      <c r="B14" s="7" t="s">
        <v>12</v>
      </c>
      <c r="C14" s="5" t="s">
        <v>13</v>
      </c>
      <c r="D14" s="6">
        <v>534355.8</v>
      </c>
      <c r="E14" s="6">
        <f>2500.3</f>
        <v>2500.3</v>
      </c>
      <c r="F14" s="6">
        <f t="shared" si="0"/>
        <v>536856.1000000001</v>
      </c>
      <c r="G14" s="6">
        <f t="shared" si="8"/>
        <v>47011.39999999991</v>
      </c>
      <c r="H14" s="6">
        <f>7896.1+573471.1</f>
        <v>581367.2</v>
      </c>
      <c r="I14" s="6">
        <v>523616.5</v>
      </c>
      <c r="J14" s="6"/>
      <c r="K14" s="6">
        <f t="shared" si="1"/>
        <v>523616.5</v>
      </c>
      <c r="L14" s="6">
        <f t="shared" si="9"/>
        <v>66864</v>
      </c>
      <c r="M14" s="6">
        <f>7896.1+582584.4</f>
        <v>590480.5</v>
      </c>
      <c r="N14" s="6">
        <f>7896.1+586725.4</f>
        <v>594621.5</v>
      </c>
      <c r="O14" s="6">
        <f>2500.3+10.4+2+2+2+10+4.4+7000</f>
        <v>9531.1</v>
      </c>
      <c r="P14" s="6">
        <f>10.4+2+2+2+10+4.4</f>
        <v>30.799999999999997</v>
      </c>
      <c r="Q14" s="6">
        <f>10.4+2+2+2+10+4.4</f>
        <v>30.799999999999997</v>
      </c>
      <c r="R14" s="6">
        <f t="shared" si="3"/>
        <v>56542.49999999988</v>
      </c>
      <c r="S14" s="6">
        <f t="shared" si="4"/>
        <v>590898.2999999999</v>
      </c>
      <c r="T14" s="6">
        <f t="shared" si="5"/>
        <v>66894.80000000005</v>
      </c>
      <c r="U14" s="6">
        <f t="shared" si="6"/>
        <v>590511.3</v>
      </c>
      <c r="V14" s="6">
        <f t="shared" si="7"/>
        <v>594652.3</v>
      </c>
      <c r="W14" s="6"/>
      <c r="X14" s="21"/>
    </row>
    <row r="15" spans="1:24" ht="15.75" hidden="1">
      <c r="A15" s="4" t="s">
        <v>5</v>
      </c>
      <c r="B15" s="7" t="s">
        <v>33</v>
      </c>
      <c r="C15" s="5" t="s">
        <v>90</v>
      </c>
      <c r="D15" s="6">
        <v>0</v>
      </c>
      <c r="E15" s="6"/>
      <c r="F15" s="6">
        <f>D15+E15</f>
        <v>0</v>
      </c>
      <c r="G15" s="6">
        <f>H15-D15</f>
        <v>0</v>
      </c>
      <c r="H15" s="6">
        <v>0</v>
      </c>
      <c r="I15" s="6">
        <v>0</v>
      </c>
      <c r="J15" s="6"/>
      <c r="K15" s="6">
        <f>I15+J15</f>
        <v>0</v>
      </c>
      <c r="L15" s="6">
        <f>M15-I15</f>
        <v>0</v>
      </c>
      <c r="M15" s="6">
        <v>0</v>
      </c>
      <c r="N15" s="6">
        <v>0</v>
      </c>
      <c r="O15" s="25"/>
      <c r="P15" s="25">
        <f>49.3+204.5+174.6+146.3+156.7+119.6+109</f>
        <v>960.0000000000001</v>
      </c>
      <c r="Q15" s="25"/>
      <c r="R15" s="6">
        <f>S15-D15</f>
        <v>0</v>
      </c>
      <c r="S15" s="6">
        <f>O15+H15</f>
        <v>0</v>
      </c>
      <c r="T15" s="6">
        <f>U15-I15</f>
        <v>960.0000000000001</v>
      </c>
      <c r="U15" s="6">
        <f>P15+M15</f>
        <v>960.0000000000001</v>
      </c>
      <c r="V15" s="6">
        <f>Q15+N15</f>
        <v>0</v>
      </c>
      <c r="W15" s="6"/>
      <c r="X15" s="21"/>
    </row>
    <row r="16" spans="1:24" ht="31.5">
      <c r="A16" s="4" t="s">
        <v>5</v>
      </c>
      <c r="B16" s="7" t="s">
        <v>14</v>
      </c>
      <c r="C16" s="5" t="s">
        <v>15</v>
      </c>
      <c r="D16" s="6">
        <v>92376</v>
      </c>
      <c r="E16" s="6"/>
      <c r="F16" s="6">
        <f t="shared" si="0"/>
        <v>92376</v>
      </c>
      <c r="G16" s="6">
        <f t="shared" si="8"/>
        <v>23119</v>
      </c>
      <c r="H16" s="6">
        <v>115495</v>
      </c>
      <c r="I16" s="6">
        <v>92577.4</v>
      </c>
      <c r="J16" s="6"/>
      <c r="K16" s="6">
        <f t="shared" si="1"/>
        <v>92577.4</v>
      </c>
      <c r="L16" s="6">
        <f t="shared" si="9"/>
        <v>14785.800000000003</v>
      </c>
      <c r="M16" s="6">
        <v>107363.2</v>
      </c>
      <c r="N16" s="6">
        <v>108151.9</v>
      </c>
      <c r="O16" s="6"/>
      <c r="P16" s="6"/>
      <c r="Q16" s="6"/>
      <c r="R16" s="6">
        <f t="shared" si="3"/>
        <v>23119</v>
      </c>
      <c r="S16" s="6">
        <f t="shared" si="4"/>
        <v>115495</v>
      </c>
      <c r="T16" s="6">
        <f t="shared" si="5"/>
        <v>14785.800000000003</v>
      </c>
      <c r="U16" s="6">
        <f t="shared" si="6"/>
        <v>107363.2</v>
      </c>
      <c r="V16" s="6">
        <f t="shared" si="7"/>
        <v>108151.9</v>
      </c>
      <c r="W16" s="6"/>
      <c r="X16" s="21"/>
    </row>
    <row r="17" spans="1:24" ht="15.75">
      <c r="A17" s="4" t="s">
        <v>5</v>
      </c>
      <c r="B17" s="7" t="s">
        <v>16</v>
      </c>
      <c r="C17" s="5" t="s">
        <v>17</v>
      </c>
      <c r="D17" s="6">
        <v>4708.2</v>
      </c>
      <c r="E17" s="6"/>
      <c r="F17" s="6">
        <f t="shared" si="0"/>
        <v>4708.2</v>
      </c>
      <c r="G17" s="6">
        <f t="shared" si="8"/>
        <v>31352.100000000002</v>
      </c>
      <c r="H17" s="6">
        <v>36060.3</v>
      </c>
      <c r="I17" s="6">
        <v>4708.2</v>
      </c>
      <c r="J17" s="6"/>
      <c r="K17" s="6">
        <f t="shared" si="1"/>
        <v>4708.2</v>
      </c>
      <c r="L17" s="6">
        <f t="shared" si="9"/>
        <v>37.80000000000018</v>
      </c>
      <c r="M17" s="6">
        <v>4746</v>
      </c>
      <c r="N17" s="6">
        <v>4760.7</v>
      </c>
      <c r="O17" s="6"/>
      <c r="P17" s="6"/>
      <c r="Q17" s="6"/>
      <c r="R17" s="6">
        <f t="shared" si="3"/>
        <v>31352.100000000002</v>
      </c>
      <c r="S17" s="6">
        <f t="shared" si="4"/>
        <v>36060.3</v>
      </c>
      <c r="T17" s="6">
        <f t="shared" si="5"/>
        <v>37.80000000000018</v>
      </c>
      <c r="U17" s="6">
        <f t="shared" si="6"/>
        <v>4746</v>
      </c>
      <c r="V17" s="6">
        <f t="shared" si="7"/>
        <v>4760.7</v>
      </c>
      <c r="W17" s="6"/>
      <c r="X17" s="21"/>
    </row>
    <row r="18" spans="1:24" ht="15.75">
      <c r="A18" s="4" t="s">
        <v>5</v>
      </c>
      <c r="B18" s="7" t="s">
        <v>18</v>
      </c>
      <c r="C18" s="5" t="s">
        <v>20</v>
      </c>
      <c r="D18" s="6">
        <v>0</v>
      </c>
      <c r="E18" s="6"/>
      <c r="F18" s="6">
        <f t="shared" si="0"/>
        <v>0</v>
      </c>
      <c r="G18" s="6">
        <f t="shared" si="8"/>
        <v>0</v>
      </c>
      <c r="H18" s="6">
        <v>0</v>
      </c>
      <c r="I18" s="6">
        <v>0</v>
      </c>
      <c r="J18" s="6"/>
      <c r="K18" s="6">
        <f t="shared" si="1"/>
        <v>0</v>
      </c>
      <c r="L18" s="6">
        <f t="shared" si="9"/>
        <v>0</v>
      </c>
      <c r="M18" s="6">
        <v>0</v>
      </c>
      <c r="N18" s="6">
        <v>0</v>
      </c>
      <c r="O18" s="6">
        <f>84572.2-40204.3</f>
        <v>44367.899999999994</v>
      </c>
      <c r="P18" s="6">
        <v>77281.6</v>
      </c>
      <c r="Q18" s="6">
        <v>82150.3</v>
      </c>
      <c r="R18" s="6">
        <f t="shared" si="3"/>
        <v>44367.899999999994</v>
      </c>
      <c r="S18" s="6">
        <f t="shared" si="4"/>
        <v>44367.899999999994</v>
      </c>
      <c r="T18" s="6">
        <f t="shared" si="5"/>
        <v>77281.6</v>
      </c>
      <c r="U18" s="6">
        <f t="shared" si="6"/>
        <v>77281.6</v>
      </c>
      <c r="V18" s="6">
        <f t="shared" si="7"/>
        <v>82150.3</v>
      </c>
      <c r="W18" s="6"/>
      <c r="X18" s="21"/>
    </row>
    <row r="19" spans="1:24" ht="15.75">
      <c r="A19" s="4" t="s">
        <v>5</v>
      </c>
      <c r="B19" s="7" t="s">
        <v>19</v>
      </c>
      <c r="C19" s="5" t="s">
        <v>20</v>
      </c>
      <c r="D19" s="6">
        <v>75163.8</v>
      </c>
      <c r="E19" s="6"/>
      <c r="F19" s="6">
        <f t="shared" si="0"/>
        <v>75163.8</v>
      </c>
      <c r="G19" s="6">
        <f t="shared" si="8"/>
        <v>9408.399999999994</v>
      </c>
      <c r="H19" s="6">
        <v>84572.2</v>
      </c>
      <c r="I19" s="6">
        <v>75163.8</v>
      </c>
      <c r="J19" s="6"/>
      <c r="K19" s="6">
        <f t="shared" si="1"/>
        <v>75163.8</v>
      </c>
      <c r="L19" s="6">
        <f t="shared" si="9"/>
        <v>2117.800000000003</v>
      </c>
      <c r="M19" s="6">
        <v>77281.6</v>
      </c>
      <c r="N19" s="6">
        <v>82150.3</v>
      </c>
      <c r="O19" s="6">
        <v>-84572.2</v>
      </c>
      <c r="P19" s="6">
        <v>-77281.6</v>
      </c>
      <c r="Q19" s="6">
        <v>-82150.3</v>
      </c>
      <c r="R19" s="6">
        <f t="shared" si="3"/>
        <v>-75163.8</v>
      </c>
      <c r="S19" s="6">
        <f t="shared" si="4"/>
        <v>0</v>
      </c>
      <c r="T19" s="6">
        <f t="shared" si="5"/>
        <v>-75163.8</v>
      </c>
      <c r="U19" s="6">
        <f t="shared" si="6"/>
        <v>0</v>
      </c>
      <c r="V19" s="6">
        <f t="shared" si="7"/>
        <v>0</v>
      </c>
      <c r="W19" s="6"/>
      <c r="X19" s="21"/>
    </row>
    <row r="20" spans="1:24" ht="15.75">
      <c r="A20" s="4" t="s">
        <v>5</v>
      </c>
      <c r="B20" s="7" t="s">
        <v>84</v>
      </c>
      <c r="C20" s="5" t="s">
        <v>22</v>
      </c>
      <c r="D20" s="6">
        <v>0</v>
      </c>
      <c r="E20" s="6"/>
      <c r="F20" s="6">
        <f t="shared" si="0"/>
        <v>0</v>
      </c>
      <c r="G20" s="6">
        <f t="shared" si="8"/>
        <v>0</v>
      </c>
      <c r="H20" s="6">
        <v>0</v>
      </c>
      <c r="I20" s="6">
        <v>0</v>
      </c>
      <c r="J20" s="6"/>
      <c r="K20" s="6">
        <f t="shared" si="1"/>
        <v>0</v>
      </c>
      <c r="L20" s="6">
        <f t="shared" si="9"/>
        <v>0</v>
      </c>
      <c r="M20" s="6">
        <v>0</v>
      </c>
      <c r="N20" s="6">
        <v>0</v>
      </c>
      <c r="O20" s="6">
        <f>139470.9+183027.4+38067.9+9930+4223.7+10030.2+13492.3+9029.1+9861.6+8184.5+8364.4+561.7+38719.7+10205.1+10075.5+35846.9+1633.2+47742.2+18100+2500+3800+3850+3000+3000+2700+3000+850+1134.8-8194.5+15935.2+4740.9</f>
        <v>632882.7</v>
      </c>
      <c r="P20" s="6">
        <f>149416+222417.5+38337.5+10001.5+4048.4+7942.5+9837.6+7507+7466.2+5725.7+7891.4+366+10279.8+10150.2+42948.9+1737.4+40118.6+48934.6+2500+3800+3900+3000+3000+2700+3000+800+1134.8+2293.6+27317.5</f>
        <v>678572.7000000001</v>
      </c>
      <c r="Q20" s="6">
        <f>118719.8+223752.4+38605.4+10072.5+2992.2+6002.9+7864.7+5859.2+6029.4+4691.8+6249.3+380.9+10354+10224.4+11877.4+1832.7+41549.6+49417.2+2500+3800+3900+3000+3000+2700+3000+800+1134.8+2293.6+27317.5</f>
        <v>609921.7000000002</v>
      </c>
      <c r="R20" s="6">
        <f t="shared" si="3"/>
        <v>632882.7</v>
      </c>
      <c r="S20" s="6">
        <f t="shared" si="4"/>
        <v>632882.7</v>
      </c>
      <c r="T20" s="6">
        <f t="shared" si="5"/>
        <v>678572.7000000001</v>
      </c>
      <c r="U20" s="6">
        <f t="shared" si="6"/>
        <v>678572.7000000001</v>
      </c>
      <c r="V20" s="6">
        <f t="shared" si="7"/>
        <v>609921.7000000002</v>
      </c>
      <c r="W20" s="6"/>
      <c r="X20" s="21"/>
    </row>
    <row r="21" spans="1:24" ht="15.75">
      <c r="A21" s="4" t="s">
        <v>5</v>
      </c>
      <c r="B21" s="7" t="s">
        <v>21</v>
      </c>
      <c r="C21" s="5" t="s">
        <v>22</v>
      </c>
      <c r="D21" s="6">
        <v>405271.2</v>
      </c>
      <c r="E21" s="6"/>
      <c r="F21" s="6">
        <f t="shared" si="0"/>
        <v>405271.2</v>
      </c>
      <c r="G21" s="6">
        <f t="shared" si="8"/>
        <v>176756.10000000003</v>
      </c>
      <c r="H21" s="6">
        <f>18.3+582009</f>
        <v>582027.3</v>
      </c>
      <c r="I21" s="6">
        <v>415561.2</v>
      </c>
      <c r="J21" s="6"/>
      <c r="K21" s="6">
        <f t="shared" si="1"/>
        <v>415561.2</v>
      </c>
      <c r="L21" s="6">
        <f t="shared" si="9"/>
        <v>213406.3</v>
      </c>
      <c r="M21" s="6">
        <f>18.3+628949.2</f>
        <v>628967.5</v>
      </c>
      <c r="N21" s="6">
        <f>18.3+557543.5</f>
        <v>557561.8</v>
      </c>
      <c r="O21" s="6">
        <f>-139470.9-183027.4-38067.9-9930-4223.7-10030.2-13492.3-9029.1-9861.6-8184.5-8364.4-561.7-38719.7-10205.1-10075.5-35846.9-1086-1633.2-47742.2-2475</f>
        <v>-582027.2999999999</v>
      </c>
      <c r="P21" s="6">
        <f>-149416-222417.5-38337.5-10001.5-2754.7-4048.4-7942.5-9837.6-7507-7466.2-5725.7-7891.4-366-10279.8-10150.2-42948.9-1086-1737.4-40118.6-48934.6</f>
        <v>-628967.5</v>
      </c>
      <c r="Q21" s="6">
        <f>-118719.8-223752.4-38605.4-10072.5-2992.2-6002.9-7864.7-5859.2-6029.4-4691.8-6249.3-380.9-10354-10224.4-11877.4-1086-1832.7-41549.6-49417.2</f>
        <v>-557561.8000000002</v>
      </c>
      <c r="R21" s="6">
        <f t="shared" si="3"/>
        <v>-405271.2</v>
      </c>
      <c r="S21" s="6">
        <f t="shared" si="4"/>
        <v>0</v>
      </c>
      <c r="T21" s="6">
        <f t="shared" si="5"/>
        <v>-415561.2</v>
      </c>
      <c r="U21" s="6">
        <f t="shared" si="6"/>
        <v>0</v>
      </c>
      <c r="V21" s="6">
        <f t="shared" si="7"/>
        <v>0</v>
      </c>
      <c r="W21" s="6"/>
      <c r="X21" s="21"/>
    </row>
    <row r="22" spans="1:24" s="14" customFormat="1" ht="31.5">
      <c r="A22" s="11" t="s">
        <v>10</v>
      </c>
      <c r="B22" s="11" t="s">
        <v>6</v>
      </c>
      <c r="C22" s="17" t="s">
        <v>23</v>
      </c>
      <c r="D22" s="13">
        <f>SUM(D23:D25)</f>
        <v>1221573.4</v>
      </c>
      <c r="E22" s="13">
        <f>SUM(E23:E25)</f>
        <v>0</v>
      </c>
      <c r="F22" s="6">
        <f t="shared" si="0"/>
        <v>1221573.4</v>
      </c>
      <c r="G22" s="13">
        <f>SUM(G23:G25)</f>
        <v>-13042.700000000048</v>
      </c>
      <c r="H22" s="13">
        <f>SUM(H23:H25)</f>
        <v>1208530.7</v>
      </c>
      <c r="I22" s="13">
        <f>SUM(I23:I25)</f>
        <v>1281698.5999999999</v>
      </c>
      <c r="J22" s="13">
        <f>SUM(J23:J25)</f>
        <v>0</v>
      </c>
      <c r="K22" s="6">
        <f t="shared" si="1"/>
        <v>1281698.5999999999</v>
      </c>
      <c r="L22" s="13">
        <f aca="true" t="shared" si="10" ref="L22:Q22">SUM(L23:L25)</f>
        <v>-43218.399999999994</v>
      </c>
      <c r="M22" s="13">
        <f t="shared" si="10"/>
        <v>1238480.2</v>
      </c>
      <c r="N22" s="13">
        <f t="shared" si="10"/>
        <v>1227488.7</v>
      </c>
      <c r="O22" s="13">
        <f t="shared" si="10"/>
        <v>136747.5</v>
      </c>
      <c r="P22" s="13">
        <f t="shared" si="10"/>
        <v>-565.9999999999998</v>
      </c>
      <c r="Q22" s="13">
        <f t="shared" si="10"/>
        <v>-1098.6999999999998</v>
      </c>
      <c r="R22" s="13">
        <f t="shared" si="3"/>
        <v>123704.80000000005</v>
      </c>
      <c r="S22" s="13">
        <f t="shared" si="4"/>
        <v>1345278.2</v>
      </c>
      <c r="T22" s="6">
        <f t="shared" si="5"/>
        <v>-43784.39999999991</v>
      </c>
      <c r="U22" s="6">
        <f t="shared" si="6"/>
        <v>1237914.2</v>
      </c>
      <c r="V22" s="6">
        <f t="shared" si="7"/>
        <v>1226390</v>
      </c>
      <c r="W22" s="13">
        <f>SUM(W23:W25)</f>
        <v>0</v>
      </c>
      <c r="X22" s="21"/>
    </row>
    <row r="23" spans="1:24" ht="15.75">
      <c r="A23" s="4" t="s">
        <v>10</v>
      </c>
      <c r="B23" s="7" t="s">
        <v>8</v>
      </c>
      <c r="C23" s="5" t="s">
        <v>24</v>
      </c>
      <c r="D23" s="6">
        <v>1090051</v>
      </c>
      <c r="E23" s="6"/>
      <c r="F23" s="6">
        <f t="shared" si="0"/>
        <v>1090051</v>
      </c>
      <c r="G23" s="6">
        <f t="shared" si="8"/>
        <v>-13083.800000000047</v>
      </c>
      <c r="H23" s="6">
        <f>47927.6+1029039.6</f>
        <v>1076967.2</v>
      </c>
      <c r="I23" s="6">
        <v>1149890</v>
      </c>
      <c r="J23" s="6"/>
      <c r="K23" s="6">
        <f t="shared" si="1"/>
        <v>1149890</v>
      </c>
      <c r="L23" s="6">
        <f t="shared" si="9"/>
        <v>-47368.5</v>
      </c>
      <c r="M23" s="6">
        <v>1102521.5</v>
      </c>
      <c r="N23" s="6">
        <v>1114375.5</v>
      </c>
      <c r="O23" s="6">
        <f>137524.3</f>
        <v>137524.3</v>
      </c>
      <c r="P23" s="6"/>
      <c r="Q23" s="6"/>
      <c r="R23" s="6">
        <f t="shared" si="3"/>
        <v>124440.5</v>
      </c>
      <c r="S23" s="6">
        <f t="shared" si="4"/>
        <v>1214491.5</v>
      </c>
      <c r="T23" s="6">
        <f t="shared" si="5"/>
        <v>-47368.5</v>
      </c>
      <c r="U23" s="6">
        <f t="shared" si="6"/>
        <v>1102521.5</v>
      </c>
      <c r="V23" s="6">
        <f t="shared" si="7"/>
        <v>1114375.5</v>
      </c>
      <c r="W23" s="6"/>
      <c r="X23" s="21"/>
    </row>
    <row r="24" spans="1:24" ht="31.5">
      <c r="A24" s="4" t="s">
        <v>10</v>
      </c>
      <c r="B24" s="7" t="s">
        <v>25</v>
      </c>
      <c r="C24" s="8" t="s">
        <v>26</v>
      </c>
      <c r="D24" s="6">
        <v>96252.7</v>
      </c>
      <c r="E24" s="6"/>
      <c r="F24" s="6">
        <f t="shared" si="0"/>
        <v>96252.7</v>
      </c>
      <c r="G24" s="6">
        <f t="shared" si="8"/>
        <v>-1743.800000000003</v>
      </c>
      <c r="H24" s="6">
        <v>94508.9</v>
      </c>
      <c r="I24" s="6">
        <v>99782.7</v>
      </c>
      <c r="J24" s="6"/>
      <c r="K24" s="6">
        <f t="shared" si="1"/>
        <v>99782.7</v>
      </c>
      <c r="L24" s="6">
        <f t="shared" si="9"/>
        <v>625.1000000000058</v>
      </c>
      <c r="M24" s="6">
        <v>100407.8</v>
      </c>
      <c r="N24" s="6">
        <v>98014.7</v>
      </c>
      <c r="O24" s="6"/>
      <c r="P24" s="6"/>
      <c r="Q24" s="6"/>
      <c r="R24" s="6">
        <f t="shared" si="3"/>
        <v>-1743.800000000003</v>
      </c>
      <c r="S24" s="6">
        <f t="shared" si="4"/>
        <v>94508.9</v>
      </c>
      <c r="T24" s="6">
        <f t="shared" si="5"/>
        <v>625.1000000000058</v>
      </c>
      <c r="U24" s="6">
        <f t="shared" si="6"/>
        <v>100407.8</v>
      </c>
      <c r="V24" s="6">
        <f t="shared" si="7"/>
        <v>98014.7</v>
      </c>
      <c r="W24" s="6"/>
      <c r="X24" s="21"/>
    </row>
    <row r="25" spans="1:24" ht="31.5">
      <c r="A25" s="4" t="s">
        <v>10</v>
      </c>
      <c r="B25" s="7" t="s">
        <v>21</v>
      </c>
      <c r="C25" s="5" t="s">
        <v>27</v>
      </c>
      <c r="D25" s="6">
        <v>35269.7</v>
      </c>
      <c r="E25" s="6"/>
      <c r="F25" s="6">
        <f t="shared" si="0"/>
        <v>35269.7</v>
      </c>
      <c r="G25" s="6">
        <f t="shared" si="8"/>
        <v>1784.9000000000015</v>
      </c>
      <c r="H25" s="6">
        <f>180.3+2084.7+34789.6</f>
        <v>37054.6</v>
      </c>
      <c r="I25" s="6">
        <v>32025.9</v>
      </c>
      <c r="J25" s="6"/>
      <c r="K25" s="6">
        <f t="shared" si="1"/>
        <v>32025.9</v>
      </c>
      <c r="L25" s="6">
        <f t="shared" si="9"/>
        <v>3525</v>
      </c>
      <c r="M25" s="6">
        <f>180.3+2084.7+33285.9</f>
        <v>35550.9</v>
      </c>
      <c r="N25" s="6">
        <f>180.3+2084.7+12833.5</f>
        <v>15098.5</v>
      </c>
      <c r="O25" s="6">
        <f>-2084.7+1307.9</f>
        <v>-776.7999999999997</v>
      </c>
      <c r="P25" s="6">
        <f>-2084.7+986+532.7</f>
        <v>-565.9999999999998</v>
      </c>
      <c r="Q25" s="6">
        <f>-2084.7+986</f>
        <v>-1098.6999999999998</v>
      </c>
      <c r="R25" s="6">
        <f t="shared" si="3"/>
        <v>1008.0999999999985</v>
      </c>
      <c r="S25" s="6">
        <f t="shared" si="4"/>
        <v>36277.799999999996</v>
      </c>
      <c r="T25" s="6">
        <f t="shared" si="5"/>
        <v>2959</v>
      </c>
      <c r="U25" s="6">
        <f t="shared" si="6"/>
        <v>34984.9</v>
      </c>
      <c r="V25" s="6">
        <f t="shared" si="7"/>
        <v>13999.8</v>
      </c>
      <c r="W25" s="6"/>
      <c r="X25" s="21"/>
    </row>
    <row r="26" spans="1:24" s="14" customFormat="1" ht="15.75">
      <c r="A26" s="11" t="s">
        <v>12</v>
      </c>
      <c r="B26" s="11" t="s">
        <v>6</v>
      </c>
      <c r="C26" s="12" t="s">
        <v>28</v>
      </c>
      <c r="D26" s="13">
        <f>SUM(D27:D29)</f>
        <v>954398</v>
      </c>
      <c r="E26" s="13">
        <f>SUM(E27:E29)</f>
        <v>104706.3</v>
      </c>
      <c r="F26" s="6">
        <f t="shared" si="0"/>
        <v>1059104.3</v>
      </c>
      <c r="G26" s="13">
        <f>SUM(G27:G29)</f>
        <v>106687.99999999994</v>
      </c>
      <c r="H26" s="13">
        <f>SUM(H27:H29)</f>
        <v>1061086</v>
      </c>
      <c r="I26" s="13">
        <f>SUM(I27:I29)</f>
        <v>1085094.6</v>
      </c>
      <c r="J26" s="13">
        <f>SUM(J27:J29)</f>
        <v>0</v>
      </c>
      <c r="K26" s="6">
        <f t="shared" si="1"/>
        <v>1085094.6</v>
      </c>
      <c r="L26" s="13">
        <f aca="true" t="shared" si="11" ref="L26:Q26">SUM(L27:L29)</f>
        <v>86435.90000000002</v>
      </c>
      <c r="M26" s="13">
        <f t="shared" si="11"/>
        <v>1171530.5</v>
      </c>
      <c r="N26" s="13">
        <f t="shared" si="11"/>
        <v>981759.7999999999</v>
      </c>
      <c r="O26" s="13">
        <f t="shared" si="11"/>
        <v>22076.300000000003</v>
      </c>
      <c r="P26" s="13">
        <f t="shared" si="11"/>
        <v>-70000</v>
      </c>
      <c r="Q26" s="13">
        <f t="shared" si="11"/>
        <v>0</v>
      </c>
      <c r="R26" s="13">
        <f t="shared" si="3"/>
        <v>128764.30000000005</v>
      </c>
      <c r="S26" s="13">
        <f t="shared" si="4"/>
        <v>1083162.3</v>
      </c>
      <c r="T26" s="6">
        <f t="shared" si="5"/>
        <v>16435.899999999907</v>
      </c>
      <c r="U26" s="6">
        <f t="shared" si="6"/>
        <v>1101530.5</v>
      </c>
      <c r="V26" s="6">
        <f t="shared" si="7"/>
        <v>981759.7999999999</v>
      </c>
      <c r="W26" s="13">
        <f>SUM(W27:W29)</f>
        <v>0</v>
      </c>
      <c r="X26" s="21"/>
    </row>
    <row r="27" spans="1:24" ht="15.75">
      <c r="A27" s="4" t="s">
        <v>12</v>
      </c>
      <c r="B27" s="7" t="s">
        <v>16</v>
      </c>
      <c r="C27" s="5" t="s">
        <v>29</v>
      </c>
      <c r="D27" s="6">
        <v>20122</v>
      </c>
      <c r="E27" s="6"/>
      <c r="F27" s="6">
        <f t="shared" si="0"/>
        <v>20122</v>
      </c>
      <c r="G27" s="6">
        <f t="shared" si="8"/>
        <v>1576.9000000000015</v>
      </c>
      <c r="H27" s="6">
        <v>21698.9</v>
      </c>
      <c r="I27" s="6">
        <v>20122</v>
      </c>
      <c r="J27" s="6"/>
      <c r="K27" s="6">
        <f t="shared" si="1"/>
        <v>20122</v>
      </c>
      <c r="L27" s="6">
        <f t="shared" si="9"/>
        <v>1672.7000000000007</v>
      </c>
      <c r="M27" s="6">
        <v>21794.7</v>
      </c>
      <c r="N27" s="6">
        <v>22015.5</v>
      </c>
      <c r="O27" s="6"/>
      <c r="P27" s="6"/>
      <c r="Q27" s="6"/>
      <c r="R27" s="6">
        <f t="shared" si="3"/>
        <v>1576.9000000000015</v>
      </c>
      <c r="S27" s="6">
        <f t="shared" si="4"/>
        <v>21698.9</v>
      </c>
      <c r="T27" s="6">
        <f t="shared" si="5"/>
        <v>1672.7000000000007</v>
      </c>
      <c r="U27" s="6">
        <f t="shared" si="6"/>
        <v>21794.7</v>
      </c>
      <c r="V27" s="6">
        <f t="shared" si="7"/>
        <v>22015.5</v>
      </c>
      <c r="W27" s="6"/>
      <c r="X27" s="21"/>
    </row>
    <row r="28" spans="1:24" ht="15.75">
      <c r="A28" s="4" t="s">
        <v>12</v>
      </c>
      <c r="B28" s="7" t="s">
        <v>30</v>
      </c>
      <c r="C28" s="5" t="s">
        <v>31</v>
      </c>
      <c r="D28" s="6">
        <v>554537</v>
      </c>
      <c r="E28" s="6"/>
      <c r="F28" s="6">
        <f t="shared" si="0"/>
        <v>554537</v>
      </c>
      <c r="G28" s="6">
        <f t="shared" si="8"/>
        <v>350105.8999999999</v>
      </c>
      <c r="H28" s="6">
        <f>25.7+904617.2</f>
        <v>904642.8999999999</v>
      </c>
      <c r="I28" s="6">
        <v>629149.2</v>
      </c>
      <c r="J28" s="6"/>
      <c r="K28" s="6">
        <f t="shared" si="1"/>
        <v>629149.2</v>
      </c>
      <c r="L28" s="6">
        <f t="shared" si="9"/>
        <v>275788.9</v>
      </c>
      <c r="M28" s="6">
        <f>25.7+904912.4</f>
        <v>904938.1</v>
      </c>
      <c r="N28" s="6">
        <f>25.7+905531</f>
        <v>905556.7</v>
      </c>
      <c r="O28" s="6">
        <v>-77317.4</v>
      </c>
      <c r="P28" s="6"/>
      <c r="Q28" s="6"/>
      <c r="R28" s="6">
        <f t="shared" si="3"/>
        <v>272788.4999999999</v>
      </c>
      <c r="S28" s="6">
        <f t="shared" si="4"/>
        <v>827325.4999999999</v>
      </c>
      <c r="T28" s="6">
        <f t="shared" si="5"/>
        <v>275788.9</v>
      </c>
      <c r="U28" s="6">
        <f t="shared" si="6"/>
        <v>904938.1</v>
      </c>
      <c r="V28" s="6">
        <f t="shared" si="7"/>
        <v>905556.7</v>
      </c>
      <c r="W28" s="6"/>
      <c r="X28" s="21"/>
    </row>
    <row r="29" spans="1:24" ht="15.75">
      <c r="A29" s="4" t="s">
        <v>12</v>
      </c>
      <c r="B29" s="7" t="s">
        <v>19</v>
      </c>
      <c r="C29" s="5" t="s">
        <v>32</v>
      </c>
      <c r="D29" s="6">
        <v>379739</v>
      </c>
      <c r="E29" s="6">
        <f>7952+23730+7398+5312.6+48335+11978.7</f>
        <v>104706.3</v>
      </c>
      <c r="F29" s="6">
        <f t="shared" si="0"/>
        <v>484445.3</v>
      </c>
      <c r="G29" s="6">
        <f t="shared" si="8"/>
        <v>-244994.8</v>
      </c>
      <c r="H29" s="6">
        <v>134744.2</v>
      </c>
      <c r="I29" s="6">
        <v>435823.4</v>
      </c>
      <c r="J29" s="6"/>
      <c r="K29" s="6">
        <f t="shared" si="1"/>
        <v>435823.4</v>
      </c>
      <c r="L29" s="6">
        <f t="shared" si="9"/>
        <v>-191025.7</v>
      </c>
      <c r="M29" s="6">
        <v>244797.7</v>
      </c>
      <c r="N29" s="6">
        <v>54187.6</v>
      </c>
      <c r="O29" s="6">
        <f>7952+23730+7398+5312.6+48335+11978.7-5312.6</f>
        <v>99393.7</v>
      </c>
      <c r="P29" s="6">
        <f>-70000</f>
        <v>-70000</v>
      </c>
      <c r="Q29" s="6"/>
      <c r="R29" s="6">
        <f t="shared" si="3"/>
        <v>-145601.09999999998</v>
      </c>
      <c r="S29" s="6">
        <f t="shared" si="4"/>
        <v>234137.90000000002</v>
      </c>
      <c r="T29" s="6">
        <f t="shared" si="5"/>
        <v>-261025.7</v>
      </c>
      <c r="U29" s="6">
        <f t="shared" si="6"/>
        <v>174797.7</v>
      </c>
      <c r="V29" s="6">
        <f t="shared" si="7"/>
        <v>54187.6</v>
      </c>
      <c r="W29" s="6"/>
      <c r="X29" s="21"/>
    </row>
    <row r="30" spans="1:24" s="14" customFormat="1" ht="15.75">
      <c r="A30" s="11" t="s">
        <v>33</v>
      </c>
      <c r="B30" s="11" t="s">
        <v>6</v>
      </c>
      <c r="C30" s="12" t="s">
        <v>34</v>
      </c>
      <c r="D30" s="13">
        <f>SUM(D31:D34)</f>
        <v>3777841.7</v>
      </c>
      <c r="E30" s="13">
        <f>SUM(E31:E34)</f>
        <v>132132.824</v>
      </c>
      <c r="F30" s="6">
        <f t="shared" si="0"/>
        <v>3909974.524</v>
      </c>
      <c r="G30" s="13">
        <f>SUM(G31:G34)</f>
        <v>-14995.29999999996</v>
      </c>
      <c r="H30" s="13">
        <f>SUM(H31:H34)</f>
        <v>3762846.4</v>
      </c>
      <c r="I30" s="13">
        <f>SUM(I31:I34)</f>
        <v>3733086</v>
      </c>
      <c r="J30" s="13">
        <f>SUM(J31:J34)</f>
        <v>0</v>
      </c>
      <c r="K30" s="6">
        <f t="shared" si="1"/>
        <v>3733086</v>
      </c>
      <c r="L30" s="13">
        <f aca="true" t="shared" si="12" ref="L30:Q30">SUM(L31:L34)</f>
        <v>-69746.00000000023</v>
      </c>
      <c r="M30" s="13">
        <f t="shared" si="12"/>
        <v>3663340</v>
      </c>
      <c r="N30" s="13">
        <f t="shared" si="12"/>
        <v>3071173</v>
      </c>
      <c r="O30" s="13">
        <f t="shared" si="12"/>
        <v>1239551.424</v>
      </c>
      <c r="P30" s="13">
        <f t="shared" si="12"/>
        <v>-87567.80000000002</v>
      </c>
      <c r="Q30" s="13">
        <f t="shared" si="12"/>
        <v>-71241.2</v>
      </c>
      <c r="R30" s="13">
        <f t="shared" si="3"/>
        <v>1224556.1239999998</v>
      </c>
      <c r="S30" s="13">
        <f t="shared" si="4"/>
        <v>5002397.824</v>
      </c>
      <c r="T30" s="6">
        <f t="shared" si="5"/>
        <v>-157313.7999999998</v>
      </c>
      <c r="U30" s="6">
        <f t="shared" si="6"/>
        <v>3575772.2</v>
      </c>
      <c r="V30" s="6">
        <f t="shared" si="7"/>
        <v>2999931.8</v>
      </c>
      <c r="W30" s="13">
        <f>SUM(W31:W34)</f>
        <v>0</v>
      </c>
      <c r="X30" s="21"/>
    </row>
    <row r="31" spans="1:24" ht="15.75">
      <c r="A31" s="4" t="s">
        <v>33</v>
      </c>
      <c r="B31" s="7" t="s">
        <v>5</v>
      </c>
      <c r="C31" s="5" t="s">
        <v>35</v>
      </c>
      <c r="D31" s="6">
        <v>400377.2</v>
      </c>
      <c r="E31" s="6">
        <f>25000</f>
        <v>25000</v>
      </c>
      <c r="F31" s="6">
        <f t="shared" si="0"/>
        <v>425377.2</v>
      </c>
      <c r="G31" s="6">
        <f>H31-D31</f>
        <v>16262.399999999965</v>
      </c>
      <c r="H31" s="6">
        <v>416639.6</v>
      </c>
      <c r="I31" s="6">
        <v>394439.9</v>
      </c>
      <c r="J31" s="6"/>
      <c r="K31" s="6">
        <f t="shared" si="1"/>
        <v>394439.9</v>
      </c>
      <c r="L31" s="6">
        <f t="shared" si="9"/>
        <v>-14166.300000000047</v>
      </c>
      <c r="M31" s="6">
        <v>380273.6</v>
      </c>
      <c r="N31" s="6">
        <v>113582.8</v>
      </c>
      <c r="O31" s="6">
        <f>25000</f>
        <v>25000</v>
      </c>
      <c r="P31" s="6"/>
      <c r="Q31" s="6"/>
      <c r="R31" s="6">
        <f t="shared" si="3"/>
        <v>41262.399999999965</v>
      </c>
      <c r="S31" s="6">
        <f t="shared" si="4"/>
        <v>441639.6</v>
      </c>
      <c r="T31" s="6">
        <f t="shared" si="5"/>
        <v>-14166.300000000047</v>
      </c>
      <c r="U31" s="6">
        <f t="shared" si="6"/>
        <v>380273.6</v>
      </c>
      <c r="V31" s="6">
        <f t="shared" si="7"/>
        <v>113582.8</v>
      </c>
      <c r="W31" s="6"/>
      <c r="X31" s="21"/>
    </row>
    <row r="32" spans="1:24" ht="15.75">
      <c r="A32" s="4" t="s">
        <v>33</v>
      </c>
      <c r="B32" s="7" t="s">
        <v>8</v>
      </c>
      <c r="C32" s="5" t="s">
        <v>36</v>
      </c>
      <c r="D32" s="6">
        <v>185704.4</v>
      </c>
      <c r="E32" s="6">
        <f>70000</f>
        <v>70000</v>
      </c>
      <c r="F32" s="6">
        <f t="shared" si="0"/>
        <v>255704.4</v>
      </c>
      <c r="G32" s="6">
        <f aca="true" t="shared" si="13" ref="G32:G67">H32-D32</f>
        <v>53952.600000000006</v>
      </c>
      <c r="H32" s="6">
        <v>239657</v>
      </c>
      <c r="I32" s="6">
        <v>124490.4</v>
      </c>
      <c r="J32" s="6"/>
      <c r="K32" s="6">
        <f t="shared" si="1"/>
        <v>124490.4</v>
      </c>
      <c r="L32" s="6">
        <f t="shared" si="9"/>
        <v>192816.6</v>
      </c>
      <c r="M32" s="6">
        <v>317307</v>
      </c>
      <c r="N32" s="6">
        <v>104855</v>
      </c>
      <c r="O32" s="6">
        <f>70000+301092-48300</f>
        <v>322792</v>
      </c>
      <c r="P32" s="6">
        <f>-169716.7</f>
        <v>-169716.7</v>
      </c>
      <c r="Q32" s="6">
        <f>-83075.3</f>
        <v>-83075.3</v>
      </c>
      <c r="R32" s="6">
        <f t="shared" si="3"/>
        <v>376744.6</v>
      </c>
      <c r="S32" s="6">
        <f t="shared" si="4"/>
        <v>562449</v>
      </c>
      <c r="T32" s="6">
        <f t="shared" si="5"/>
        <v>23099.899999999994</v>
      </c>
      <c r="U32" s="6">
        <f t="shared" si="6"/>
        <v>147590.3</v>
      </c>
      <c r="V32" s="6">
        <f t="shared" si="7"/>
        <v>21779.699999999997</v>
      </c>
      <c r="W32" s="6"/>
      <c r="X32" s="21"/>
    </row>
    <row r="33" spans="1:24" ht="15.75">
      <c r="A33" s="4" t="s">
        <v>33</v>
      </c>
      <c r="B33" s="7" t="s">
        <v>10</v>
      </c>
      <c r="C33" s="5" t="s">
        <v>37</v>
      </c>
      <c r="D33" s="6">
        <v>2957861.9</v>
      </c>
      <c r="E33" s="6">
        <f>27367.824+9765</f>
        <v>37132.824</v>
      </c>
      <c r="F33" s="6">
        <f t="shared" si="0"/>
        <v>2994994.724</v>
      </c>
      <c r="G33" s="6">
        <f t="shared" si="13"/>
        <v>-82765.8999999999</v>
      </c>
      <c r="H33" s="6">
        <v>2875096</v>
      </c>
      <c r="I33" s="6">
        <v>2975789.7</v>
      </c>
      <c r="J33" s="6"/>
      <c r="K33" s="6">
        <f t="shared" si="1"/>
        <v>2975789.7</v>
      </c>
      <c r="L33" s="6">
        <f t="shared" si="9"/>
        <v>-242323.2000000002</v>
      </c>
      <c r="M33" s="6">
        <v>2733466.5</v>
      </c>
      <c r="N33" s="6">
        <v>2616199.6</v>
      </c>
      <c r="O33" s="6">
        <f>27367.824+9765+764816-756.8+77317.4</f>
        <v>878509.424</v>
      </c>
      <c r="P33" s="6">
        <f>70000-869.6</f>
        <v>69130.4</v>
      </c>
      <c r="Q33" s="6">
        <f>-972.7</f>
        <v>-972.7</v>
      </c>
      <c r="R33" s="6">
        <f t="shared" si="3"/>
        <v>795743.5240000002</v>
      </c>
      <c r="S33" s="6">
        <f t="shared" si="4"/>
        <v>3753605.424</v>
      </c>
      <c r="T33" s="6">
        <f t="shared" si="5"/>
        <v>-173192.80000000028</v>
      </c>
      <c r="U33" s="6">
        <f t="shared" si="6"/>
        <v>2802596.9</v>
      </c>
      <c r="V33" s="6">
        <f t="shared" si="7"/>
        <v>2615226.9</v>
      </c>
      <c r="W33" s="6"/>
      <c r="X33" s="21"/>
    </row>
    <row r="34" spans="1:24" ht="15.75">
      <c r="A34" s="4" t="s">
        <v>33</v>
      </c>
      <c r="B34" s="7" t="s">
        <v>33</v>
      </c>
      <c r="C34" s="5" t="s">
        <v>38</v>
      </c>
      <c r="D34" s="6">
        <v>233898.2</v>
      </c>
      <c r="E34" s="6"/>
      <c r="F34" s="6">
        <f t="shared" si="0"/>
        <v>233898.2</v>
      </c>
      <c r="G34" s="6">
        <f t="shared" si="13"/>
        <v>-2444.4000000000233</v>
      </c>
      <c r="H34" s="6">
        <v>231453.8</v>
      </c>
      <c r="I34" s="6">
        <v>238366</v>
      </c>
      <c r="J34" s="6"/>
      <c r="K34" s="6">
        <f t="shared" si="1"/>
        <v>238366</v>
      </c>
      <c r="L34" s="6">
        <f t="shared" si="9"/>
        <v>-6073.100000000006</v>
      </c>
      <c r="M34" s="6">
        <v>232292.9</v>
      </c>
      <c r="N34" s="6">
        <v>236535.6</v>
      </c>
      <c r="O34" s="6">
        <v>13250</v>
      </c>
      <c r="P34" s="6">
        <v>13018.5</v>
      </c>
      <c r="Q34" s="6">
        <v>12806.8</v>
      </c>
      <c r="R34" s="6">
        <f t="shared" si="3"/>
        <v>10805.599999999977</v>
      </c>
      <c r="S34" s="6">
        <f t="shared" si="4"/>
        <v>244703.8</v>
      </c>
      <c r="T34" s="6">
        <f t="shared" si="5"/>
        <v>6945.399999999994</v>
      </c>
      <c r="U34" s="6">
        <f t="shared" si="6"/>
        <v>245311.4</v>
      </c>
      <c r="V34" s="6">
        <f t="shared" si="7"/>
        <v>249342.4</v>
      </c>
      <c r="W34" s="6"/>
      <c r="X34" s="21"/>
    </row>
    <row r="35" spans="1:24" s="14" customFormat="1" ht="15.75">
      <c r="A35" s="11" t="s">
        <v>14</v>
      </c>
      <c r="B35" s="11" t="s">
        <v>6</v>
      </c>
      <c r="C35" s="12" t="s">
        <v>39</v>
      </c>
      <c r="D35" s="13">
        <f>SUM(D36:D37)</f>
        <v>36925</v>
      </c>
      <c r="E35" s="13">
        <f>SUM(E36:E37)</f>
        <v>0</v>
      </c>
      <c r="F35" s="6">
        <f t="shared" si="0"/>
        <v>36925</v>
      </c>
      <c r="G35" s="13">
        <f>SUM(G36:G37)</f>
        <v>302.8999999999978</v>
      </c>
      <c r="H35" s="13">
        <f>SUM(H36:H37)</f>
        <v>37227.899999999994</v>
      </c>
      <c r="I35" s="13">
        <f>SUM(I36:I37)</f>
        <v>36944</v>
      </c>
      <c r="J35" s="13">
        <f>SUM(J36:J37)</f>
        <v>0</v>
      </c>
      <c r="K35" s="6">
        <f t="shared" si="1"/>
        <v>36944</v>
      </c>
      <c r="L35" s="13">
        <f aca="true" t="shared" si="14" ref="L35:Q35">SUM(L36:L37)</f>
        <v>-1679.8999999999996</v>
      </c>
      <c r="M35" s="13">
        <f t="shared" si="14"/>
        <v>35264.1</v>
      </c>
      <c r="N35" s="13">
        <f t="shared" si="14"/>
        <v>36729.3</v>
      </c>
      <c r="O35" s="13">
        <f t="shared" si="14"/>
        <v>0</v>
      </c>
      <c r="P35" s="13">
        <f t="shared" si="14"/>
        <v>0</v>
      </c>
      <c r="Q35" s="13">
        <f t="shared" si="14"/>
        <v>0</v>
      </c>
      <c r="R35" s="13">
        <f t="shared" si="3"/>
        <v>302.8999999999942</v>
      </c>
      <c r="S35" s="13">
        <f t="shared" si="4"/>
        <v>37227.899999999994</v>
      </c>
      <c r="T35" s="6">
        <f t="shared" si="5"/>
        <v>-1679.9000000000015</v>
      </c>
      <c r="U35" s="6">
        <f t="shared" si="6"/>
        <v>35264.1</v>
      </c>
      <c r="V35" s="6">
        <f t="shared" si="7"/>
        <v>36729.3</v>
      </c>
      <c r="W35" s="13">
        <f>SUM(W36:W37)</f>
        <v>0</v>
      </c>
      <c r="X35" s="21"/>
    </row>
    <row r="36" spans="1:24" ht="31.5">
      <c r="A36" s="4" t="s">
        <v>14</v>
      </c>
      <c r="B36" s="7" t="s">
        <v>10</v>
      </c>
      <c r="C36" s="5" t="s">
        <v>40</v>
      </c>
      <c r="D36" s="6">
        <v>28389.2</v>
      </c>
      <c r="E36" s="6"/>
      <c r="F36" s="6">
        <f t="shared" si="0"/>
        <v>28389.2</v>
      </c>
      <c r="G36" s="6">
        <f t="shared" si="13"/>
        <v>-385.1000000000022</v>
      </c>
      <c r="H36" s="6">
        <v>28004.1</v>
      </c>
      <c r="I36" s="6">
        <v>28389.2</v>
      </c>
      <c r="J36" s="6"/>
      <c r="K36" s="6">
        <f t="shared" si="1"/>
        <v>28389.2</v>
      </c>
      <c r="L36" s="6">
        <f t="shared" si="9"/>
        <v>-2409.7000000000007</v>
      </c>
      <c r="M36" s="6">
        <v>25979.5</v>
      </c>
      <c r="N36" s="6">
        <v>27367.5</v>
      </c>
      <c r="O36" s="6"/>
      <c r="P36" s="6"/>
      <c r="Q36" s="6"/>
      <c r="R36" s="6">
        <f t="shared" si="3"/>
        <v>-385.1000000000022</v>
      </c>
      <c r="S36" s="6">
        <f t="shared" si="4"/>
        <v>28004.1</v>
      </c>
      <c r="T36" s="6">
        <f t="shared" si="5"/>
        <v>-2409.7000000000007</v>
      </c>
      <c r="U36" s="6">
        <f t="shared" si="6"/>
        <v>25979.5</v>
      </c>
      <c r="V36" s="6">
        <f t="shared" si="7"/>
        <v>27367.5</v>
      </c>
      <c r="W36" s="6"/>
      <c r="X36" s="21"/>
    </row>
    <row r="37" spans="1:24" ht="15.75">
      <c r="A37" s="4" t="s">
        <v>14</v>
      </c>
      <c r="B37" s="7" t="s">
        <v>33</v>
      </c>
      <c r="C37" s="5" t="s">
        <v>41</v>
      </c>
      <c r="D37" s="6">
        <v>8535.8</v>
      </c>
      <c r="E37" s="6"/>
      <c r="F37" s="6">
        <f t="shared" si="0"/>
        <v>8535.8</v>
      </c>
      <c r="G37" s="6">
        <f t="shared" si="13"/>
        <v>688</v>
      </c>
      <c r="H37" s="6">
        <v>9223.8</v>
      </c>
      <c r="I37" s="6">
        <v>8554.8</v>
      </c>
      <c r="J37" s="6"/>
      <c r="K37" s="6">
        <f t="shared" si="1"/>
        <v>8554.8</v>
      </c>
      <c r="L37" s="6">
        <f t="shared" si="9"/>
        <v>729.8000000000011</v>
      </c>
      <c r="M37" s="6">
        <v>9284.6</v>
      </c>
      <c r="N37" s="6">
        <v>9361.8</v>
      </c>
      <c r="O37" s="6"/>
      <c r="P37" s="6"/>
      <c r="Q37" s="6"/>
      <c r="R37" s="6">
        <f t="shared" si="3"/>
        <v>688</v>
      </c>
      <c r="S37" s="6">
        <f t="shared" si="4"/>
        <v>9223.8</v>
      </c>
      <c r="T37" s="6">
        <f t="shared" si="5"/>
        <v>729.8000000000011</v>
      </c>
      <c r="U37" s="6">
        <f t="shared" si="6"/>
        <v>9284.6</v>
      </c>
      <c r="V37" s="6">
        <f t="shared" si="7"/>
        <v>9361.8</v>
      </c>
      <c r="W37" s="6"/>
      <c r="X37" s="21"/>
    </row>
    <row r="38" spans="1:24" s="14" customFormat="1" ht="15.75">
      <c r="A38" s="11" t="s">
        <v>16</v>
      </c>
      <c r="B38" s="11" t="s">
        <v>6</v>
      </c>
      <c r="C38" s="18" t="s">
        <v>42</v>
      </c>
      <c r="D38" s="13">
        <f>SUM(D39:D42)</f>
        <v>7493859.7</v>
      </c>
      <c r="E38" s="13">
        <f>SUM(E39:E42)</f>
        <v>6000</v>
      </c>
      <c r="F38" s="6">
        <f t="shared" si="0"/>
        <v>7499859.7</v>
      </c>
      <c r="G38" s="13">
        <f>SUM(G39:G42)</f>
        <v>-729763.899999999</v>
      </c>
      <c r="H38" s="13">
        <f>SUM(H39:H42)</f>
        <v>6764095.8</v>
      </c>
      <c r="I38" s="13">
        <f>SUM(I39:I42)</f>
        <v>7518447.8</v>
      </c>
      <c r="J38" s="13">
        <f>SUM(J39:J42)</f>
        <v>0</v>
      </c>
      <c r="K38" s="6">
        <f t="shared" si="1"/>
        <v>7518447.8</v>
      </c>
      <c r="L38" s="13">
        <f aca="true" t="shared" si="15" ref="L38:Q38">SUM(L39:L42)</f>
        <v>-54020.29999999929</v>
      </c>
      <c r="M38" s="13">
        <f t="shared" si="15"/>
        <v>7464427.500000001</v>
      </c>
      <c r="N38" s="13">
        <f t="shared" si="15"/>
        <v>7076229.300000001</v>
      </c>
      <c r="O38" s="13">
        <f t="shared" si="15"/>
        <v>297165.5</v>
      </c>
      <c r="P38" s="13">
        <f t="shared" si="15"/>
        <v>4586.2</v>
      </c>
      <c r="Q38" s="13">
        <f t="shared" si="15"/>
        <v>1489.3999999999996</v>
      </c>
      <c r="R38" s="13">
        <f t="shared" si="3"/>
        <v>-432598.4000000004</v>
      </c>
      <c r="S38" s="13">
        <f t="shared" si="4"/>
        <v>7061261.3</v>
      </c>
      <c r="T38" s="6">
        <f t="shared" si="5"/>
        <v>-49434.099999998696</v>
      </c>
      <c r="U38" s="6">
        <f t="shared" si="6"/>
        <v>7469013.700000001</v>
      </c>
      <c r="V38" s="6">
        <f t="shared" si="7"/>
        <v>7077718.700000001</v>
      </c>
      <c r="W38" s="13">
        <f>SUM(W39:W42)</f>
        <v>0</v>
      </c>
      <c r="X38" s="21"/>
    </row>
    <row r="39" spans="1:24" ht="15.75">
      <c r="A39" s="4" t="s">
        <v>16</v>
      </c>
      <c r="B39" s="7" t="s">
        <v>5</v>
      </c>
      <c r="C39" s="5" t="s">
        <v>43</v>
      </c>
      <c r="D39" s="6">
        <v>2507592.4</v>
      </c>
      <c r="E39" s="6"/>
      <c r="F39" s="6">
        <f t="shared" si="0"/>
        <v>2507592.4</v>
      </c>
      <c r="G39" s="6">
        <f t="shared" si="13"/>
        <v>-188029.99999999953</v>
      </c>
      <c r="H39" s="6">
        <f>1371.7+2318190.7</f>
        <v>2319562.4000000004</v>
      </c>
      <c r="I39" s="6">
        <v>2519783.7</v>
      </c>
      <c r="J39" s="6"/>
      <c r="K39" s="6">
        <f t="shared" si="1"/>
        <v>2519783.7</v>
      </c>
      <c r="L39" s="6">
        <f t="shared" si="9"/>
        <v>12246</v>
      </c>
      <c r="M39" s="6">
        <f>1558.7+2530471</f>
        <v>2532029.7</v>
      </c>
      <c r="N39" s="6">
        <f>1774.1+2357440.4</f>
        <v>2359214.5</v>
      </c>
      <c r="O39" s="6">
        <f>5879+4579</f>
        <v>10458</v>
      </c>
      <c r="P39" s="6"/>
      <c r="Q39" s="6"/>
      <c r="R39" s="6">
        <f t="shared" si="3"/>
        <v>-177571.99999999953</v>
      </c>
      <c r="S39" s="6">
        <f t="shared" si="4"/>
        <v>2330020.4000000004</v>
      </c>
      <c r="T39" s="6">
        <f t="shared" si="5"/>
        <v>12246</v>
      </c>
      <c r="U39" s="6">
        <f t="shared" si="6"/>
        <v>2532029.7</v>
      </c>
      <c r="V39" s="6">
        <f t="shared" si="7"/>
        <v>2359214.5</v>
      </c>
      <c r="W39" s="6"/>
      <c r="X39" s="21"/>
    </row>
    <row r="40" spans="1:24" ht="15.75">
      <c r="A40" s="4" t="s">
        <v>16</v>
      </c>
      <c r="B40" s="7" t="s">
        <v>8</v>
      </c>
      <c r="C40" s="5" t="s">
        <v>44</v>
      </c>
      <c r="D40" s="6">
        <v>4738292.1</v>
      </c>
      <c r="E40" s="6">
        <f>6000</f>
        <v>6000</v>
      </c>
      <c r="F40" s="6">
        <f t="shared" si="0"/>
        <v>4744292.1</v>
      </c>
      <c r="G40" s="6">
        <f t="shared" si="13"/>
        <v>-675607.9999999995</v>
      </c>
      <c r="H40" s="6">
        <f>1713501.3+227439.9+69847.1+17295.8+2034600</f>
        <v>4062684.1</v>
      </c>
      <c r="I40" s="6">
        <v>4744172.68</v>
      </c>
      <c r="J40" s="6"/>
      <c r="K40" s="6">
        <f t="shared" si="1"/>
        <v>4744172.68</v>
      </c>
      <c r="L40" s="6">
        <f t="shared" si="9"/>
        <v>-204085.77999999933</v>
      </c>
      <c r="M40" s="6">
        <f>1749163.7+227985.9+69847.1+17295.8+2475794.4</f>
        <v>4540086.9</v>
      </c>
      <c r="N40" s="6">
        <f>1778185+228313.2+69847.1+17295.8+2218632.7</f>
        <v>4312273.800000001</v>
      </c>
      <c r="O40" s="6">
        <f>6000+6238.4+101896+32476-4100.8+28400+97428</f>
        <v>268337.6</v>
      </c>
      <c r="P40" s="6">
        <f>6307.7-4596.2</f>
        <v>1711.5</v>
      </c>
      <c r="Q40" s="6">
        <f>6371.4-5002</f>
        <v>1369.3999999999996</v>
      </c>
      <c r="R40" s="6">
        <f t="shared" si="3"/>
        <v>-407270.39999999944</v>
      </c>
      <c r="S40" s="6">
        <f t="shared" si="4"/>
        <v>4331021.7</v>
      </c>
      <c r="T40" s="6">
        <f t="shared" si="5"/>
        <v>-202374.27999999933</v>
      </c>
      <c r="U40" s="6">
        <f t="shared" si="6"/>
        <v>4541798.4</v>
      </c>
      <c r="V40" s="6">
        <f t="shared" si="7"/>
        <v>4313643.200000001</v>
      </c>
      <c r="W40" s="6"/>
      <c r="X40" s="21"/>
    </row>
    <row r="41" spans="1:24" ht="15.75">
      <c r="A41" s="4" t="s">
        <v>16</v>
      </c>
      <c r="B41" s="7" t="s">
        <v>16</v>
      </c>
      <c r="C41" s="5" t="s">
        <v>45</v>
      </c>
      <c r="D41" s="6">
        <v>94888.3</v>
      </c>
      <c r="E41" s="6"/>
      <c r="F41" s="6">
        <f t="shared" si="0"/>
        <v>94888.3</v>
      </c>
      <c r="G41" s="6">
        <f t="shared" si="13"/>
        <v>94634.3</v>
      </c>
      <c r="H41" s="6">
        <f>97397.6+92125</f>
        <v>189522.6</v>
      </c>
      <c r="I41" s="6">
        <v>103874.9</v>
      </c>
      <c r="J41" s="6"/>
      <c r="K41" s="6">
        <f t="shared" si="1"/>
        <v>103874.9</v>
      </c>
      <c r="L41" s="6">
        <f t="shared" si="9"/>
        <v>91401.50000000003</v>
      </c>
      <c r="M41" s="6">
        <f>97397.6+97878.8</f>
        <v>195276.40000000002</v>
      </c>
      <c r="N41" s="6">
        <f>97397.6+103128</f>
        <v>200525.6</v>
      </c>
      <c r="O41" s="6">
        <f>2475</f>
        <v>2475</v>
      </c>
      <c r="P41" s="6">
        <f>2754.7</f>
        <v>2754.7</v>
      </c>
      <c r="Q41" s="6"/>
      <c r="R41" s="6">
        <f t="shared" si="3"/>
        <v>97109.3</v>
      </c>
      <c r="S41" s="6">
        <f t="shared" si="4"/>
        <v>191997.6</v>
      </c>
      <c r="T41" s="6">
        <f t="shared" si="5"/>
        <v>94156.20000000004</v>
      </c>
      <c r="U41" s="6">
        <f t="shared" si="6"/>
        <v>198031.10000000003</v>
      </c>
      <c r="V41" s="6">
        <f t="shared" si="7"/>
        <v>200525.6</v>
      </c>
      <c r="W41" s="6"/>
      <c r="X41" s="21"/>
    </row>
    <row r="42" spans="1:24" ht="15.75">
      <c r="A42" s="4" t="s">
        <v>16</v>
      </c>
      <c r="B42" s="7" t="s">
        <v>25</v>
      </c>
      <c r="C42" s="5" t="s">
        <v>46</v>
      </c>
      <c r="D42" s="6">
        <v>153086.9</v>
      </c>
      <c r="E42" s="6"/>
      <c r="F42" s="6">
        <f t="shared" si="0"/>
        <v>153086.9</v>
      </c>
      <c r="G42" s="6">
        <f t="shared" si="13"/>
        <v>39239.80000000002</v>
      </c>
      <c r="H42" s="6">
        <f>2367+9878.6+180081.1</f>
        <v>192326.7</v>
      </c>
      <c r="I42" s="6">
        <v>150616.52</v>
      </c>
      <c r="J42" s="6"/>
      <c r="K42" s="6">
        <f t="shared" si="1"/>
        <v>150616.52</v>
      </c>
      <c r="L42" s="6">
        <f t="shared" si="9"/>
        <v>46417.98000000001</v>
      </c>
      <c r="M42" s="6">
        <f>2367+9878.6+184788.9</f>
        <v>197034.5</v>
      </c>
      <c r="N42" s="6">
        <f>2367+9878.6+191969.8</f>
        <v>204215.4</v>
      </c>
      <c r="O42" s="6">
        <f>120-5879+21293.9+360</f>
        <v>15894.900000000001</v>
      </c>
      <c r="P42" s="6">
        <f>120</f>
        <v>120</v>
      </c>
      <c r="Q42" s="6">
        <f>120</f>
        <v>120</v>
      </c>
      <c r="R42" s="6">
        <f t="shared" si="3"/>
        <v>55134.70000000001</v>
      </c>
      <c r="S42" s="6">
        <f t="shared" si="4"/>
        <v>208221.6</v>
      </c>
      <c r="T42" s="6">
        <f t="shared" si="5"/>
        <v>46537.98000000001</v>
      </c>
      <c r="U42" s="6">
        <f t="shared" si="6"/>
        <v>197154.5</v>
      </c>
      <c r="V42" s="6">
        <f t="shared" si="7"/>
        <v>204335.4</v>
      </c>
      <c r="W42" s="6"/>
      <c r="X42" s="21"/>
    </row>
    <row r="43" spans="1:24" s="14" customFormat="1" ht="15.75">
      <c r="A43" s="11" t="s">
        <v>30</v>
      </c>
      <c r="B43" s="11" t="s">
        <v>6</v>
      </c>
      <c r="C43" s="12" t="s">
        <v>47</v>
      </c>
      <c r="D43" s="13">
        <f>SUM(D44:D46)</f>
        <v>455917.1</v>
      </c>
      <c r="E43" s="13">
        <f>SUM(E44:E46)</f>
        <v>18913.440000000002</v>
      </c>
      <c r="F43" s="6">
        <f t="shared" si="0"/>
        <v>474830.54</v>
      </c>
      <c r="G43" s="13">
        <f>SUM(G44:G46)</f>
        <v>20095.200000000023</v>
      </c>
      <c r="H43" s="13">
        <f>SUM(H44:H46)</f>
        <v>476012.3</v>
      </c>
      <c r="I43" s="13">
        <f>SUM(I44:I46)</f>
        <v>433847.8</v>
      </c>
      <c r="J43" s="13">
        <f>SUM(J44:J46)</f>
        <v>0</v>
      </c>
      <c r="K43" s="6">
        <f t="shared" si="1"/>
        <v>433847.8</v>
      </c>
      <c r="L43" s="13">
        <f aca="true" t="shared" si="16" ref="L43:Q43">SUM(L44:L46)</f>
        <v>73447.70000000001</v>
      </c>
      <c r="M43" s="13">
        <f t="shared" si="16"/>
        <v>507295.5</v>
      </c>
      <c r="N43" s="13">
        <f t="shared" si="16"/>
        <v>401019.9</v>
      </c>
      <c r="O43" s="13">
        <f t="shared" si="16"/>
        <v>26574.736000000008</v>
      </c>
      <c r="P43" s="13">
        <f t="shared" si="16"/>
        <v>2433.8999999999996</v>
      </c>
      <c r="Q43" s="13">
        <f t="shared" si="16"/>
        <v>2433.8999999999996</v>
      </c>
      <c r="R43" s="13">
        <f t="shared" si="3"/>
        <v>46669.936000000045</v>
      </c>
      <c r="S43" s="13">
        <f t="shared" si="4"/>
        <v>502587.036</v>
      </c>
      <c r="T43" s="6">
        <f t="shared" si="5"/>
        <v>75881.60000000003</v>
      </c>
      <c r="U43" s="6">
        <f t="shared" si="6"/>
        <v>509729.4</v>
      </c>
      <c r="V43" s="6">
        <f t="shared" si="7"/>
        <v>403453.80000000005</v>
      </c>
      <c r="W43" s="13">
        <f>SUM(W44:W46)</f>
        <v>0</v>
      </c>
      <c r="X43" s="21"/>
    </row>
    <row r="44" spans="1:24" ht="15.75">
      <c r="A44" s="4" t="s">
        <v>30</v>
      </c>
      <c r="B44" s="7" t="s">
        <v>5</v>
      </c>
      <c r="C44" s="5" t="s">
        <v>48</v>
      </c>
      <c r="D44" s="6">
        <v>446131.6</v>
      </c>
      <c r="E44" s="6">
        <f>3913.44+4000+4000+2000+5000</f>
        <v>18913.440000000002</v>
      </c>
      <c r="F44" s="6">
        <f t="shared" si="0"/>
        <v>465045.04</v>
      </c>
      <c r="G44" s="6">
        <f t="shared" si="13"/>
        <v>18991.900000000023</v>
      </c>
      <c r="H44" s="6">
        <v>465123.5</v>
      </c>
      <c r="I44" s="6">
        <v>424137.3</v>
      </c>
      <c r="J44" s="6"/>
      <c r="K44" s="6">
        <f t="shared" si="1"/>
        <v>424137.3</v>
      </c>
      <c r="L44" s="6">
        <f t="shared" si="9"/>
        <v>72438.20000000001</v>
      </c>
      <c r="M44" s="6">
        <v>496575.5</v>
      </c>
      <c r="N44" s="6">
        <v>390219.2</v>
      </c>
      <c r="O44" s="6">
        <f>3913.44+4000+4000+2000+5000+2433.9+5227.396</f>
        <v>26574.736000000004</v>
      </c>
      <c r="P44" s="6">
        <f>2433.9</f>
        <v>2433.9</v>
      </c>
      <c r="Q44" s="6">
        <f>2433.9</f>
        <v>2433.9</v>
      </c>
      <c r="R44" s="6">
        <f t="shared" si="3"/>
        <v>45566.63600000006</v>
      </c>
      <c r="S44" s="6">
        <f t="shared" si="4"/>
        <v>491698.23600000003</v>
      </c>
      <c r="T44" s="6">
        <f t="shared" si="5"/>
        <v>74872.10000000003</v>
      </c>
      <c r="U44" s="6">
        <f t="shared" si="6"/>
        <v>499009.4</v>
      </c>
      <c r="V44" s="6">
        <f t="shared" si="7"/>
        <v>392653.10000000003</v>
      </c>
      <c r="W44" s="6"/>
      <c r="X44" s="21"/>
    </row>
    <row r="45" spans="1:24" ht="15.75">
      <c r="A45" s="4" t="s">
        <v>30</v>
      </c>
      <c r="B45" s="7" t="s">
        <v>12</v>
      </c>
      <c r="C45" s="5" t="s">
        <v>88</v>
      </c>
      <c r="D45" s="6">
        <v>0</v>
      </c>
      <c r="E45" s="6"/>
      <c r="F45" s="6">
        <f t="shared" si="0"/>
        <v>0</v>
      </c>
      <c r="G45" s="6">
        <f t="shared" si="13"/>
        <v>0</v>
      </c>
      <c r="H45" s="6">
        <v>0</v>
      </c>
      <c r="I45" s="6">
        <v>0</v>
      </c>
      <c r="J45" s="6"/>
      <c r="K45" s="6">
        <f t="shared" si="1"/>
        <v>0</v>
      </c>
      <c r="L45" s="6">
        <f t="shared" si="9"/>
        <v>0</v>
      </c>
      <c r="M45" s="6">
        <v>0</v>
      </c>
      <c r="N45" s="6">
        <v>0</v>
      </c>
      <c r="O45" s="6">
        <f>10638.8+250</f>
        <v>10888.8</v>
      </c>
      <c r="P45" s="6">
        <v>10720</v>
      </c>
      <c r="Q45" s="6">
        <v>10800.7</v>
      </c>
      <c r="R45" s="6">
        <f t="shared" si="3"/>
        <v>10888.8</v>
      </c>
      <c r="S45" s="6">
        <f>O45+H45</f>
        <v>10888.8</v>
      </c>
      <c r="T45" s="6">
        <f t="shared" si="5"/>
        <v>10720</v>
      </c>
      <c r="U45" s="6">
        <f>P45+M45</f>
        <v>10720</v>
      </c>
      <c r="V45" s="6">
        <f>Q45+N45</f>
        <v>10800.7</v>
      </c>
      <c r="W45" s="6"/>
      <c r="X45" s="21"/>
    </row>
    <row r="46" spans="1:24" ht="31.5">
      <c r="A46" s="4" t="s">
        <v>30</v>
      </c>
      <c r="B46" s="7" t="s">
        <v>14</v>
      </c>
      <c r="C46" s="5" t="s">
        <v>67</v>
      </c>
      <c r="D46" s="6">
        <v>9785.5</v>
      </c>
      <c r="E46" s="6"/>
      <c r="F46" s="6">
        <f t="shared" si="0"/>
        <v>9785.5</v>
      </c>
      <c r="G46" s="6">
        <f t="shared" si="13"/>
        <v>1103.2999999999993</v>
      </c>
      <c r="H46" s="6">
        <v>10888.8</v>
      </c>
      <c r="I46" s="6">
        <v>9710.5</v>
      </c>
      <c r="J46" s="6"/>
      <c r="K46" s="6">
        <f t="shared" si="1"/>
        <v>9710.5</v>
      </c>
      <c r="L46" s="6">
        <f t="shared" si="9"/>
        <v>1009.5</v>
      </c>
      <c r="M46" s="6">
        <v>10720</v>
      </c>
      <c r="N46" s="6">
        <v>10800.7</v>
      </c>
      <c r="O46" s="6">
        <f>-10638.8-250</f>
        <v>-10888.8</v>
      </c>
      <c r="P46" s="6">
        <f>-10720</f>
        <v>-10720</v>
      </c>
      <c r="Q46" s="6">
        <f>-10800.7</f>
        <v>-10800.7</v>
      </c>
      <c r="R46" s="6">
        <f t="shared" si="3"/>
        <v>-9785.5</v>
      </c>
      <c r="S46" s="6">
        <f t="shared" si="4"/>
        <v>0</v>
      </c>
      <c r="T46" s="6">
        <f t="shared" si="5"/>
        <v>-9710.5</v>
      </c>
      <c r="U46" s="6">
        <f t="shared" si="6"/>
        <v>0</v>
      </c>
      <c r="V46" s="6">
        <f t="shared" si="7"/>
        <v>0</v>
      </c>
      <c r="W46" s="6"/>
      <c r="X46" s="21"/>
    </row>
    <row r="47" spans="1:24" s="14" customFormat="1" ht="15.75">
      <c r="A47" s="11" t="s">
        <v>25</v>
      </c>
      <c r="B47" s="11" t="s">
        <v>6</v>
      </c>
      <c r="C47" s="12" t="s">
        <v>49</v>
      </c>
      <c r="D47" s="13">
        <f>SUM(D48:D55)</f>
        <v>2485973.8000000003</v>
      </c>
      <c r="E47" s="13">
        <f>SUM(E48:E55)</f>
        <v>156076.34</v>
      </c>
      <c r="F47" s="6">
        <f t="shared" si="0"/>
        <v>2642050.14</v>
      </c>
      <c r="G47" s="13">
        <f>SUM(G48:G55)</f>
        <v>88911.9</v>
      </c>
      <c r="H47" s="13">
        <f>SUM(H48:H55)</f>
        <v>2574885.6999999997</v>
      </c>
      <c r="I47" s="13">
        <f>SUM(I48:I55)</f>
        <v>2456801.1</v>
      </c>
      <c r="J47" s="13">
        <f>SUM(J48:J55)</f>
        <v>0</v>
      </c>
      <c r="K47" s="6">
        <f t="shared" si="1"/>
        <v>2456801.1</v>
      </c>
      <c r="L47" s="13">
        <f aca="true" t="shared" si="17" ref="L47:Q47">SUM(L48:L55)</f>
        <v>-40986.79999999999</v>
      </c>
      <c r="M47" s="13">
        <f t="shared" si="17"/>
        <v>2415814.299999999</v>
      </c>
      <c r="N47" s="13">
        <f t="shared" si="17"/>
        <v>2475746.5</v>
      </c>
      <c r="O47" s="13">
        <f t="shared" si="17"/>
        <v>773487.5400000003</v>
      </c>
      <c r="P47" s="13">
        <f t="shared" si="17"/>
        <v>626203.6000000001</v>
      </c>
      <c r="Q47" s="13">
        <f t="shared" si="17"/>
        <v>234348.09999999995</v>
      </c>
      <c r="R47" s="13">
        <f t="shared" si="3"/>
        <v>862399.44</v>
      </c>
      <c r="S47" s="13">
        <f t="shared" si="4"/>
        <v>3348373.24</v>
      </c>
      <c r="T47" s="6">
        <f t="shared" si="5"/>
        <v>585216.7999999989</v>
      </c>
      <c r="U47" s="6">
        <f t="shared" si="6"/>
        <v>3042017.899999999</v>
      </c>
      <c r="V47" s="6">
        <f t="shared" si="7"/>
        <v>2710094.6</v>
      </c>
      <c r="W47" s="13">
        <f>SUM(W48:W55)</f>
        <v>0</v>
      </c>
      <c r="X47" s="21"/>
    </row>
    <row r="48" spans="1:24" ht="15.75">
      <c r="A48" s="4" t="s">
        <v>25</v>
      </c>
      <c r="B48" s="7" t="s">
        <v>5</v>
      </c>
      <c r="C48" s="5" t="s">
        <v>50</v>
      </c>
      <c r="D48" s="6">
        <v>1433480.144</v>
      </c>
      <c r="E48" s="6">
        <f>109000+22060</f>
        <v>131060</v>
      </c>
      <c r="F48" s="6">
        <f t="shared" si="0"/>
        <v>1564540.144</v>
      </c>
      <c r="G48" s="6">
        <f t="shared" si="13"/>
        <v>-20921.043999999994</v>
      </c>
      <c r="H48" s="6">
        <v>1412559.1</v>
      </c>
      <c r="I48" s="6">
        <v>1369613.217</v>
      </c>
      <c r="J48" s="6"/>
      <c r="K48" s="6">
        <f t="shared" si="1"/>
        <v>1369613.217</v>
      </c>
      <c r="L48" s="6">
        <f t="shared" si="9"/>
        <v>-299772.517</v>
      </c>
      <c r="M48" s="6">
        <v>1069840.7</v>
      </c>
      <c r="N48" s="6">
        <v>838593</v>
      </c>
      <c r="O48" s="6">
        <f>109000+22060+457929.3-18026.6+845.9+196.8+21032.3+13000</f>
        <v>606037.7000000002</v>
      </c>
      <c r="P48" s="6">
        <f>477883.7-18707.6+852.9+198.4+24483.7</f>
        <v>484711.1000000001</v>
      </c>
      <c r="Q48" s="6">
        <f>496129-19329.3+859.1+199.8+25085.8</f>
        <v>502944.39999999997</v>
      </c>
      <c r="R48" s="6">
        <f t="shared" si="3"/>
        <v>585116.6560000002</v>
      </c>
      <c r="S48" s="6">
        <f t="shared" si="4"/>
        <v>2018596.8000000003</v>
      </c>
      <c r="T48" s="6">
        <f t="shared" si="5"/>
        <v>184938.5830000001</v>
      </c>
      <c r="U48" s="6">
        <f t="shared" si="6"/>
        <v>1554551.8</v>
      </c>
      <c r="V48" s="6">
        <f t="shared" si="7"/>
        <v>1341537.4</v>
      </c>
      <c r="W48" s="6"/>
      <c r="X48" s="21"/>
    </row>
    <row r="49" spans="1:24" ht="15.75">
      <c r="A49" s="4" t="s">
        <v>25</v>
      </c>
      <c r="B49" s="7" t="s">
        <v>8</v>
      </c>
      <c r="C49" s="5" t="s">
        <v>51</v>
      </c>
      <c r="D49" s="6">
        <v>338943.956</v>
      </c>
      <c r="E49" s="6">
        <f>20000+5016.34</f>
        <v>25016.34</v>
      </c>
      <c r="F49" s="6">
        <f t="shared" si="0"/>
        <v>363960.29600000003</v>
      </c>
      <c r="G49" s="6">
        <f t="shared" si="13"/>
        <v>14974.744000000006</v>
      </c>
      <c r="H49" s="6">
        <v>353918.7</v>
      </c>
      <c r="I49" s="6">
        <v>324802.983</v>
      </c>
      <c r="J49" s="6"/>
      <c r="K49" s="6">
        <f t="shared" si="1"/>
        <v>324802.983</v>
      </c>
      <c r="L49" s="6">
        <f t="shared" si="9"/>
        <v>147507.717</v>
      </c>
      <c r="M49" s="6">
        <v>472310.7</v>
      </c>
      <c r="N49" s="6">
        <v>415719.3</v>
      </c>
      <c r="O49" s="6">
        <f>20000+5016.34+168521.6-845.9-196.8+3223.4</f>
        <v>195718.64</v>
      </c>
      <c r="P49" s="6">
        <f>175864.9-852.9-198.4+3312.7</f>
        <v>178126.30000000002</v>
      </c>
      <c r="Q49" s="6">
        <f>182579.3-859.1-199.8+3394.3</f>
        <v>184914.69999999998</v>
      </c>
      <c r="R49" s="6">
        <f t="shared" si="3"/>
        <v>210693.38400000008</v>
      </c>
      <c r="S49" s="6">
        <f t="shared" si="4"/>
        <v>549637.3400000001</v>
      </c>
      <c r="T49" s="6">
        <f t="shared" si="5"/>
        <v>325634.017</v>
      </c>
      <c r="U49" s="6">
        <f t="shared" si="6"/>
        <v>650437</v>
      </c>
      <c r="V49" s="6">
        <f t="shared" si="7"/>
        <v>600634</v>
      </c>
      <c r="W49" s="6"/>
      <c r="X49" s="21"/>
    </row>
    <row r="50" spans="1:24" ht="15.75">
      <c r="A50" s="4" t="s">
        <v>25</v>
      </c>
      <c r="B50" s="7" t="s">
        <v>12</v>
      </c>
      <c r="C50" s="5" t="s">
        <v>52</v>
      </c>
      <c r="D50" s="6">
        <v>488612.7</v>
      </c>
      <c r="E50" s="6"/>
      <c r="F50" s="6">
        <f t="shared" si="0"/>
        <v>488612.7</v>
      </c>
      <c r="G50" s="6">
        <f t="shared" si="13"/>
        <v>18862.29999999999</v>
      </c>
      <c r="H50" s="6">
        <v>507475</v>
      </c>
      <c r="I50" s="6">
        <v>527916.7</v>
      </c>
      <c r="J50" s="6"/>
      <c r="K50" s="6">
        <f t="shared" si="1"/>
        <v>527916.7</v>
      </c>
      <c r="L50" s="6">
        <f t="shared" si="9"/>
        <v>32314</v>
      </c>
      <c r="M50" s="6">
        <v>560230.7</v>
      </c>
      <c r="N50" s="6">
        <v>564432.6</v>
      </c>
      <c r="O50" s="6">
        <f>77468.9</f>
        <v>77468.9</v>
      </c>
      <c r="P50" s="6">
        <f>77468.9</f>
        <v>77468.9</v>
      </c>
      <c r="Q50" s="6"/>
      <c r="R50" s="6">
        <f t="shared" si="3"/>
        <v>96331.20000000001</v>
      </c>
      <c r="S50" s="6">
        <f t="shared" si="4"/>
        <v>584943.9</v>
      </c>
      <c r="T50" s="6">
        <f t="shared" si="5"/>
        <v>109782.90000000002</v>
      </c>
      <c r="U50" s="6">
        <f t="shared" si="6"/>
        <v>637699.6</v>
      </c>
      <c r="V50" s="6">
        <f t="shared" si="7"/>
        <v>564432.6</v>
      </c>
      <c r="W50" s="6"/>
      <c r="X50" s="21"/>
    </row>
    <row r="51" spans="1:24" ht="15.75">
      <c r="A51" s="4" t="s">
        <v>25</v>
      </c>
      <c r="B51" s="7" t="s">
        <v>33</v>
      </c>
      <c r="C51" s="5" t="s">
        <v>53</v>
      </c>
      <c r="D51" s="6">
        <v>113356.9</v>
      </c>
      <c r="E51" s="6"/>
      <c r="F51" s="6">
        <f t="shared" si="0"/>
        <v>113356.9</v>
      </c>
      <c r="G51" s="6">
        <f t="shared" si="13"/>
        <v>-1075</v>
      </c>
      <c r="H51" s="6">
        <v>112281.9</v>
      </c>
      <c r="I51" s="6">
        <v>117519.4</v>
      </c>
      <c r="J51" s="6"/>
      <c r="K51" s="6">
        <f t="shared" si="1"/>
        <v>117519.4</v>
      </c>
      <c r="L51" s="6">
        <f t="shared" si="9"/>
        <v>-2438.0999999999913</v>
      </c>
      <c r="M51" s="6">
        <v>115081.3</v>
      </c>
      <c r="N51" s="6">
        <v>117641.1</v>
      </c>
      <c r="O51" s="6"/>
      <c r="P51" s="6"/>
      <c r="Q51" s="6"/>
      <c r="R51" s="6">
        <f t="shared" si="3"/>
        <v>-1075</v>
      </c>
      <c r="S51" s="6">
        <f t="shared" si="4"/>
        <v>112281.9</v>
      </c>
      <c r="T51" s="6">
        <f t="shared" si="5"/>
        <v>-2438.0999999999913</v>
      </c>
      <c r="U51" s="6">
        <f t="shared" si="6"/>
        <v>115081.3</v>
      </c>
      <c r="V51" s="6">
        <f t="shared" si="7"/>
        <v>117641.1</v>
      </c>
      <c r="W51" s="6"/>
      <c r="X51" s="21"/>
    </row>
    <row r="52" spans="1:24" ht="31.5">
      <c r="A52" s="7" t="s">
        <v>25</v>
      </c>
      <c r="B52" s="7" t="s">
        <v>14</v>
      </c>
      <c r="C52" s="5" t="s">
        <v>54</v>
      </c>
      <c r="D52" s="6">
        <v>16562</v>
      </c>
      <c r="E52" s="6"/>
      <c r="F52" s="6">
        <f t="shared" si="0"/>
        <v>16562</v>
      </c>
      <c r="G52" s="6">
        <f t="shared" si="13"/>
        <v>483.2999999999993</v>
      </c>
      <c r="H52" s="6">
        <f>17045.3</f>
        <v>17045.3</v>
      </c>
      <c r="I52" s="6">
        <v>17017.7</v>
      </c>
      <c r="J52" s="6"/>
      <c r="K52" s="6">
        <f t="shared" si="1"/>
        <v>17017.7</v>
      </c>
      <c r="L52" s="6">
        <f t="shared" si="9"/>
        <v>27.599999999998545</v>
      </c>
      <c r="M52" s="6">
        <f>17045.3</f>
        <v>17045.3</v>
      </c>
      <c r="N52" s="6">
        <f>17045.3</f>
        <v>17045.3</v>
      </c>
      <c r="O52" s="6"/>
      <c r="P52" s="6"/>
      <c r="Q52" s="6"/>
      <c r="R52" s="6">
        <f t="shared" si="3"/>
        <v>483.2999999999993</v>
      </c>
      <c r="S52" s="6">
        <f t="shared" si="4"/>
        <v>17045.3</v>
      </c>
      <c r="T52" s="6">
        <f t="shared" si="5"/>
        <v>27.599999999998545</v>
      </c>
      <c r="U52" s="6">
        <f t="shared" si="6"/>
        <v>17045.3</v>
      </c>
      <c r="V52" s="6">
        <f t="shared" si="7"/>
        <v>17045.3</v>
      </c>
      <c r="W52" s="6"/>
      <c r="X52" s="21"/>
    </row>
    <row r="53" spans="1:24" ht="15.75">
      <c r="A53" s="4" t="s">
        <v>25</v>
      </c>
      <c r="B53" s="7" t="s">
        <v>30</v>
      </c>
      <c r="C53" s="5" t="s">
        <v>55</v>
      </c>
      <c r="D53" s="6">
        <v>52417.4</v>
      </c>
      <c r="E53" s="6"/>
      <c r="F53" s="6">
        <f t="shared" si="0"/>
        <v>52417.4</v>
      </c>
      <c r="G53" s="6">
        <f t="shared" si="13"/>
        <v>64909.799999999996</v>
      </c>
      <c r="H53" s="6">
        <v>117327.2</v>
      </c>
      <c r="I53" s="6">
        <v>56601.4</v>
      </c>
      <c r="J53" s="6"/>
      <c r="K53" s="6">
        <f t="shared" si="1"/>
        <v>56601.4</v>
      </c>
      <c r="L53" s="6">
        <f t="shared" si="9"/>
        <v>69719.9</v>
      </c>
      <c r="M53" s="6">
        <v>126321.3</v>
      </c>
      <c r="N53" s="6">
        <v>466299.6</v>
      </c>
      <c r="O53" s="6">
        <f>-1032-4248-3568-3042.8-3100-10173-2226-254-284.8-63454.2-4901.6-14734.4-6238.4-70</f>
        <v>-117327.19999999998</v>
      </c>
      <c r="P53" s="6">
        <f>-1108.4-4562.4-3832-3128.3-3329.4-2642-7738.3-2390.7-208.4-284.8-70008.1-4956.1-15824.7-6307.7</f>
        <v>-126321.3</v>
      </c>
      <c r="Q53" s="6">
        <f>-1178.2-4849.8-4073.5-3325.4-3539.2-2808.5-7779.7-2541.3-221.5-284.8-67498.5-5006.1-16821.7-340000-6371.4</f>
        <v>-466299.60000000003</v>
      </c>
      <c r="R53" s="6">
        <f t="shared" si="3"/>
        <v>-52417.4</v>
      </c>
      <c r="S53" s="6">
        <f t="shared" si="4"/>
        <v>0</v>
      </c>
      <c r="T53" s="6">
        <f t="shared" si="5"/>
        <v>-56601.4</v>
      </c>
      <c r="U53" s="6">
        <f t="shared" si="6"/>
        <v>0</v>
      </c>
      <c r="V53" s="6">
        <f t="shared" si="7"/>
        <v>0</v>
      </c>
      <c r="W53" s="6"/>
      <c r="X53" s="21"/>
    </row>
    <row r="54" spans="1:24" ht="15.75">
      <c r="A54" s="4" t="s">
        <v>25</v>
      </c>
      <c r="B54" s="7" t="s">
        <v>25</v>
      </c>
      <c r="C54" s="5" t="s">
        <v>89</v>
      </c>
      <c r="D54" s="6">
        <v>0</v>
      </c>
      <c r="E54" s="6"/>
      <c r="F54" s="6">
        <f t="shared" si="0"/>
        <v>0</v>
      </c>
      <c r="G54" s="6">
        <f t="shared" si="13"/>
        <v>0</v>
      </c>
      <c r="H54" s="6">
        <v>0</v>
      </c>
      <c r="I54" s="6">
        <v>0</v>
      </c>
      <c r="J54" s="6"/>
      <c r="K54" s="6">
        <f t="shared" si="1"/>
        <v>0</v>
      </c>
      <c r="L54" s="6">
        <f t="shared" si="9"/>
        <v>0</v>
      </c>
      <c r="M54" s="6">
        <v>0</v>
      </c>
      <c r="N54" s="6">
        <v>0</v>
      </c>
      <c r="O54" s="6">
        <f>9585.4+13464.1+3000+2179+392+19220.9+18026.6</f>
        <v>65868</v>
      </c>
      <c r="P54" s="6">
        <f>9947.5+13985.5+3000+2179+19383.3+18707.6</f>
        <v>67202.9</v>
      </c>
      <c r="Q54" s="6">
        <f>10278.1+14473.1+3000+2179+19544.7+19329.3</f>
        <v>68804.2</v>
      </c>
      <c r="R54" s="6">
        <f t="shared" si="3"/>
        <v>65868</v>
      </c>
      <c r="S54" s="6">
        <f>O54+H54</f>
        <v>65868</v>
      </c>
      <c r="T54" s="6">
        <f t="shared" si="5"/>
        <v>67202.9</v>
      </c>
      <c r="U54" s="6">
        <f>P54+M54</f>
        <v>67202.9</v>
      </c>
      <c r="V54" s="6">
        <f>Q54+N54</f>
        <v>68804.2</v>
      </c>
      <c r="W54" s="6"/>
      <c r="X54" s="21"/>
    </row>
    <row r="55" spans="1:24" ht="31.5">
      <c r="A55" s="4" t="s">
        <v>25</v>
      </c>
      <c r="B55" s="7" t="s">
        <v>56</v>
      </c>
      <c r="C55" s="5" t="s">
        <v>57</v>
      </c>
      <c r="D55" s="6">
        <v>42600.7</v>
      </c>
      <c r="E55" s="6"/>
      <c r="F55" s="6">
        <f t="shared" si="0"/>
        <v>42600.7</v>
      </c>
      <c r="G55" s="6">
        <f t="shared" si="13"/>
        <v>11677.800000000003</v>
      </c>
      <c r="H55" s="6">
        <f>2179+52099.5</f>
        <v>54278.5</v>
      </c>
      <c r="I55" s="6">
        <v>43329.7</v>
      </c>
      <c r="J55" s="6"/>
      <c r="K55" s="6">
        <f t="shared" si="1"/>
        <v>43329.7</v>
      </c>
      <c r="L55" s="6">
        <f t="shared" si="9"/>
        <v>11654.600000000006</v>
      </c>
      <c r="M55" s="6">
        <f>2179+52805.3</f>
        <v>54984.3</v>
      </c>
      <c r="N55" s="6">
        <f>2179+53836.6</f>
        <v>56015.6</v>
      </c>
      <c r="O55" s="6">
        <f>-9585.4-13464.1-3000-2179-392-19220.9-6437.1</f>
        <v>-54278.5</v>
      </c>
      <c r="P55" s="6">
        <f>-9947.5-13985.5-3000-2179-19383.3-6489</f>
        <v>-54984.3</v>
      </c>
      <c r="Q55" s="6">
        <f>-10278.1-14473.1-3000-2179-19544.7-6540.7</f>
        <v>-56015.6</v>
      </c>
      <c r="R55" s="6">
        <f t="shared" si="3"/>
        <v>-42600.7</v>
      </c>
      <c r="S55" s="6">
        <f t="shared" si="4"/>
        <v>0</v>
      </c>
      <c r="T55" s="6">
        <f t="shared" si="5"/>
        <v>-43329.7</v>
      </c>
      <c r="U55" s="6">
        <f t="shared" si="6"/>
        <v>0</v>
      </c>
      <c r="V55" s="6">
        <f t="shared" si="7"/>
        <v>0</v>
      </c>
      <c r="W55" s="6"/>
      <c r="X55" s="21"/>
    </row>
    <row r="56" spans="1:24" s="14" customFormat="1" ht="15.75">
      <c r="A56" s="11" t="s">
        <v>56</v>
      </c>
      <c r="B56" s="11" t="s">
        <v>6</v>
      </c>
      <c r="C56" s="12" t="s">
        <v>58</v>
      </c>
      <c r="D56" s="13">
        <f>SUM(D57:D60)</f>
        <v>873586.9</v>
      </c>
      <c r="E56" s="13">
        <f>SUM(E57:E60)</f>
        <v>0</v>
      </c>
      <c r="F56" s="6">
        <f t="shared" si="0"/>
        <v>873586.9</v>
      </c>
      <c r="G56" s="13">
        <f>SUM(G57:G60)</f>
        <v>260743.69999999992</v>
      </c>
      <c r="H56" s="13">
        <f>SUM(H57:H60)</f>
        <v>1134330.6</v>
      </c>
      <c r="I56" s="13">
        <f>SUM(I57:I60)</f>
        <v>895608.4000000001</v>
      </c>
      <c r="J56" s="13">
        <f>SUM(J57:J60)</f>
        <v>0</v>
      </c>
      <c r="K56" s="6">
        <f t="shared" si="1"/>
        <v>895608.4000000001</v>
      </c>
      <c r="L56" s="13">
        <f aca="true" t="shared" si="18" ref="L56:Q56">SUM(L57:L60)</f>
        <v>225707.4999999999</v>
      </c>
      <c r="M56" s="13">
        <f t="shared" si="18"/>
        <v>1121315.9</v>
      </c>
      <c r="N56" s="13">
        <f t="shared" si="18"/>
        <v>1127954.1</v>
      </c>
      <c r="O56" s="13">
        <f t="shared" si="18"/>
        <v>2697.9999999999964</v>
      </c>
      <c r="P56" s="13">
        <f t="shared" si="18"/>
        <v>25820.7</v>
      </c>
      <c r="Q56" s="13">
        <f t="shared" si="18"/>
        <v>27079.000000000004</v>
      </c>
      <c r="R56" s="13">
        <f t="shared" si="3"/>
        <v>263441.70000000007</v>
      </c>
      <c r="S56" s="13">
        <f t="shared" si="4"/>
        <v>1137028.6</v>
      </c>
      <c r="T56" s="6">
        <f t="shared" si="5"/>
        <v>251528.19999999972</v>
      </c>
      <c r="U56" s="6">
        <f t="shared" si="6"/>
        <v>1147136.5999999999</v>
      </c>
      <c r="V56" s="6">
        <f t="shared" si="7"/>
        <v>1155033.1</v>
      </c>
      <c r="W56" s="13">
        <f>SUM(W57:W60)</f>
        <v>0</v>
      </c>
      <c r="X56" s="21"/>
    </row>
    <row r="57" spans="1:24" ht="15.75">
      <c r="A57" s="4" t="s">
        <v>56</v>
      </c>
      <c r="B57" s="7" t="s">
        <v>5</v>
      </c>
      <c r="C57" s="5" t="s">
        <v>59</v>
      </c>
      <c r="D57" s="6">
        <v>34016</v>
      </c>
      <c r="E57" s="6"/>
      <c r="F57" s="6">
        <f t="shared" si="0"/>
        <v>34016</v>
      </c>
      <c r="G57" s="6">
        <f t="shared" si="13"/>
        <v>-206.40000000000146</v>
      </c>
      <c r="H57" s="6">
        <v>33809.6</v>
      </c>
      <c r="I57" s="6">
        <v>37859.8</v>
      </c>
      <c r="J57" s="6"/>
      <c r="K57" s="6">
        <f t="shared" si="1"/>
        <v>37859.8</v>
      </c>
      <c r="L57" s="6">
        <f t="shared" si="9"/>
        <v>-2499.9000000000015</v>
      </c>
      <c r="M57" s="6">
        <v>35359.9</v>
      </c>
      <c r="N57" s="6">
        <v>36910.3</v>
      </c>
      <c r="O57" s="6"/>
      <c r="P57" s="6"/>
      <c r="Q57" s="6"/>
      <c r="R57" s="6">
        <f t="shared" si="3"/>
        <v>-206.40000000000146</v>
      </c>
      <c r="S57" s="6">
        <f t="shared" si="4"/>
        <v>33809.6</v>
      </c>
      <c r="T57" s="6">
        <f t="shared" si="5"/>
        <v>-2499.9000000000015</v>
      </c>
      <c r="U57" s="6">
        <f t="shared" si="6"/>
        <v>35359.9</v>
      </c>
      <c r="V57" s="6">
        <f t="shared" si="7"/>
        <v>36910.3</v>
      </c>
      <c r="W57" s="6"/>
      <c r="X57" s="21"/>
    </row>
    <row r="58" spans="1:24" ht="15.75">
      <c r="A58" s="4" t="s">
        <v>56</v>
      </c>
      <c r="B58" s="7" t="s">
        <v>10</v>
      </c>
      <c r="C58" s="5" t="s">
        <v>60</v>
      </c>
      <c r="D58" s="6">
        <v>546163.3</v>
      </c>
      <c r="E58" s="6"/>
      <c r="F58" s="6">
        <f t="shared" si="0"/>
        <v>546163.3</v>
      </c>
      <c r="G58" s="6">
        <f t="shared" si="13"/>
        <v>222397.8999999999</v>
      </c>
      <c r="H58" s="6">
        <f>233.9+1232.4+7918.8+759176.1</f>
        <v>768561.2</v>
      </c>
      <c r="I58" s="6">
        <v>547094.3</v>
      </c>
      <c r="J58" s="6"/>
      <c r="K58" s="6">
        <f t="shared" si="1"/>
        <v>547094.3</v>
      </c>
      <c r="L58" s="6">
        <f t="shared" si="9"/>
        <v>222055.49999999988</v>
      </c>
      <c r="M58" s="6">
        <f>251.2+1323.6+7918.8+759656.2</f>
        <v>769149.7999999999</v>
      </c>
      <c r="N58" s="6">
        <f>267+1407+7918.8+760306.2</f>
        <v>769899</v>
      </c>
      <c r="O58" s="6">
        <f>2.6+56+25048.8+35.5</f>
        <v>25142.899999999998</v>
      </c>
      <c r="P58" s="6">
        <f>4.4+69.2+26071.2+70.6</f>
        <v>26215.399999999998</v>
      </c>
      <c r="Q58" s="6">
        <f>6.8+84.7+26582.4+46.5</f>
        <v>26720.4</v>
      </c>
      <c r="R58" s="6">
        <f t="shared" si="3"/>
        <v>247540.79999999993</v>
      </c>
      <c r="S58" s="6">
        <f t="shared" si="4"/>
        <v>793704.1</v>
      </c>
      <c r="T58" s="6">
        <f t="shared" si="5"/>
        <v>248270.8999999999</v>
      </c>
      <c r="U58" s="6">
        <f t="shared" si="6"/>
        <v>795365.2</v>
      </c>
      <c r="V58" s="6">
        <f t="shared" si="7"/>
        <v>796619.4</v>
      </c>
      <c r="W58" s="6"/>
      <c r="X58" s="21"/>
    </row>
    <row r="59" spans="1:24" ht="15.75">
      <c r="A59" s="4" t="s">
        <v>56</v>
      </c>
      <c r="B59" s="4" t="s">
        <v>12</v>
      </c>
      <c r="C59" s="5" t="s">
        <v>61</v>
      </c>
      <c r="D59" s="6">
        <v>121081</v>
      </c>
      <c r="E59" s="6"/>
      <c r="F59" s="6">
        <f t="shared" si="0"/>
        <v>121081</v>
      </c>
      <c r="G59" s="6">
        <f t="shared" si="13"/>
        <v>-9309.199999999997</v>
      </c>
      <c r="H59" s="6">
        <f>11396.9+21382.8+78992.1</f>
        <v>111771.8</v>
      </c>
      <c r="I59" s="6">
        <v>131528</v>
      </c>
      <c r="J59" s="6"/>
      <c r="K59" s="6">
        <f t="shared" si="1"/>
        <v>131528</v>
      </c>
      <c r="L59" s="6">
        <f t="shared" si="9"/>
        <v>-17953</v>
      </c>
      <c r="M59" s="6">
        <f>10991.5+23591.4+78992.1</f>
        <v>113575</v>
      </c>
      <c r="N59" s="6">
        <f>10468.5+25683+78992.1</f>
        <v>115143.6</v>
      </c>
      <c r="O59" s="6">
        <f>60.4+90.9</f>
        <v>151.3</v>
      </c>
      <c r="P59" s="6">
        <f>137.8+277.6</f>
        <v>415.40000000000003</v>
      </c>
      <c r="Q59" s="6">
        <f>206.9+484.5</f>
        <v>691.4</v>
      </c>
      <c r="R59" s="6">
        <f t="shared" si="3"/>
        <v>-9157.899999999994</v>
      </c>
      <c r="S59" s="6">
        <f t="shared" si="4"/>
        <v>111923.1</v>
      </c>
      <c r="T59" s="6">
        <f t="shared" si="5"/>
        <v>-17537.600000000006</v>
      </c>
      <c r="U59" s="6">
        <f t="shared" si="6"/>
        <v>113990.4</v>
      </c>
      <c r="V59" s="6">
        <f t="shared" si="7"/>
        <v>115835</v>
      </c>
      <c r="W59" s="6"/>
      <c r="X59" s="21"/>
    </row>
    <row r="60" spans="1:24" ht="15.75">
      <c r="A60" s="4" t="s">
        <v>56</v>
      </c>
      <c r="B60" s="7" t="s">
        <v>14</v>
      </c>
      <c r="C60" s="5" t="s">
        <v>62</v>
      </c>
      <c r="D60" s="6">
        <v>172326.6</v>
      </c>
      <c r="E60" s="6"/>
      <c r="F60" s="6">
        <f t="shared" si="0"/>
        <v>172326.6</v>
      </c>
      <c r="G60" s="6">
        <f t="shared" si="13"/>
        <v>47861.399999999994</v>
      </c>
      <c r="H60" s="6">
        <v>220188</v>
      </c>
      <c r="I60" s="6">
        <v>179126.3</v>
      </c>
      <c r="J60" s="6"/>
      <c r="K60" s="6">
        <f t="shared" si="1"/>
        <v>179126.3</v>
      </c>
      <c r="L60" s="6">
        <f t="shared" si="9"/>
        <v>24104.900000000023</v>
      </c>
      <c r="M60" s="6">
        <v>203231.2</v>
      </c>
      <c r="N60" s="6">
        <v>206001.2</v>
      </c>
      <c r="O60" s="6">
        <f>-120-21293.9+70.7-1246.5-6.5</f>
        <v>-22596.2</v>
      </c>
      <c r="P60" s="6">
        <f>-120+231.4-916.7-4.8</f>
        <v>-810.1</v>
      </c>
      <c r="Q60" s="6">
        <f>-120+405.5-615.1-3.2</f>
        <v>-332.8</v>
      </c>
      <c r="R60" s="6">
        <f t="shared" si="3"/>
        <v>25265.199999999983</v>
      </c>
      <c r="S60" s="6">
        <f t="shared" si="4"/>
        <v>197591.8</v>
      </c>
      <c r="T60" s="6">
        <f t="shared" si="5"/>
        <v>23294.800000000017</v>
      </c>
      <c r="U60" s="6">
        <f t="shared" si="6"/>
        <v>202421.1</v>
      </c>
      <c r="V60" s="6">
        <f t="shared" si="7"/>
        <v>205668.40000000002</v>
      </c>
      <c r="W60" s="6"/>
      <c r="X60" s="21"/>
    </row>
    <row r="61" spans="1:24" s="14" customFormat="1" ht="15.75">
      <c r="A61" s="11" t="s">
        <v>18</v>
      </c>
      <c r="B61" s="11" t="s">
        <v>6</v>
      </c>
      <c r="C61" s="12" t="s">
        <v>63</v>
      </c>
      <c r="D61" s="13">
        <f aca="true" t="shared" si="19" ref="D61:W61">SUM(D62:D62)</f>
        <v>542891.8</v>
      </c>
      <c r="E61" s="13">
        <f t="shared" si="19"/>
        <v>0</v>
      </c>
      <c r="F61" s="6">
        <f t="shared" si="0"/>
        <v>542891.8</v>
      </c>
      <c r="G61" s="13">
        <f t="shared" si="19"/>
        <v>83559.09999999998</v>
      </c>
      <c r="H61" s="13">
        <f t="shared" si="19"/>
        <v>626450.9</v>
      </c>
      <c r="I61" s="13">
        <f t="shared" si="19"/>
        <v>579471.2</v>
      </c>
      <c r="J61" s="13">
        <f t="shared" si="19"/>
        <v>0</v>
      </c>
      <c r="K61" s="6">
        <f t="shared" si="1"/>
        <v>579471.2</v>
      </c>
      <c r="L61" s="13">
        <f t="shared" si="19"/>
        <v>74277.40000000002</v>
      </c>
      <c r="M61" s="13">
        <f t="shared" si="19"/>
        <v>653748.6</v>
      </c>
      <c r="N61" s="13">
        <f t="shared" si="19"/>
        <v>678708.3</v>
      </c>
      <c r="O61" s="13">
        <f t="shared" si="19"/>
        <v>-626450.9</v>
      </c>
      <c r="P61" s="13">
        <f t="shared" si="19"/>
        <v>-653748.6</v>
      </c>
      <c r="Q61" s="13">
        <f t="shared" si="19"/>
        <v>-678708.3</v>
      </c>
      <c r="R61" s="13">
        <f t="shared" si="3"/>
        <v>-542891.8</v>
      </c>
      <c r="S61" s="13">
        <f t="shared" si="4"/>
        <v>0</v>
      </c>
      <c r="T61" s="6">
        <f t="shared" si="5"/>
        <v>-579471.2</v>
      </c>
      <c r="U61" s="6">
        <f t="shared" si="6"/>
        <v>0</v>
      </c>
      <c r="V61" s="6">
        <f t="shared" si="7"/>
        <v>0</v>
      </c>
      <c r="W61" s="13">
        <f t="shared" si="19"/>
        <v>0</v>
      </c>
      <c r="X61" s="21"/>
    </row>
    <row r="62" spans="1:24" ht="15.75">
      <c r="A62" s="9">
        <v>11</v>
      </c>
      <c r="B62" s="7" t="s">
        <v>12</v>
      </c>
      <c r="C62" s="5" t="s">
        <v>68</v>
      </c>
      <c r="D62" s="6">
        <v>542891.8</v>
      </c>
      <c r="E62" s="6"/>
      <c r="F62" s="6">
        <f t="shared" si="0"/>
        <v>542891.8</v>
      </c>
      <c r="G62" s="6">
        <f t="shared" si="13"/>
        <v>83559.09999999998</v>
      </c>
      <c r="H62" s="6">
        <v>626450.9</v>
      </c>
      <c r="I62" s="6">
        <v>579471.2</v>
      </c>
      <c r="J62" s="6"/>
      <c r="K62" s="6">
        <f t="shared" si="1"/>
        <v>579471.2</v>
      </c>
      <c r="L62" s="6">
        <f t="shared" si="9"/>
        <v>74277.40000000002</v>
      </c>
      <c r="M62" s="6">
        <v>653748.6</v>
      </c>
      <c r="N62" s="6">
        <v>678708.3</v>
      </c>
      <c r="O62" s="6">
        <v>-626450.9</v>
      </c>
      <c r="P62" s="6">
        <v>-653748.6</v>
      </c>
      <c r="Q62" s="6">
        <v>-678708.3</v>
      </c>
      <c r="R62" s="6">
        <f t="shared" si="3"/>
        <v>-542891.8</v>
      </c>
      <c r="S62" s="6">
        <f t="shared" si="4"/>
        <v>0</v>
      </c>
      <c r="T62" s="6">
        <f t="shared" si="5"/>
        <v>-579471.2</v>
      </c>
      <c r="U62" s="6">
        <f t="shared" si="6"/>
        <v>0</v>
      </c>
      <c r="V62" s="6">
        <f t="shared" si="7"/>
        <v>0</v>
      </c>
      <c r="W62" s="6"/>
      <c r="X62" s="21"/>
    </row>
    <row r="63" spans="1:24" s="14" customFormat="1" ht="15.75">
      <c r="A63" s="22">
        <v>11</v>
      </c>
      <c r="B63" s="19" t="s">
        <v>6</v>
      </c>
      <c r="C63" s="12" t="s">
        <v>55</v>
      </c>
      <c r="D63" s="13">
        <f>D64+D65+D66</f>
        <v>0</v>
      </c>
      <c r="E63" s="13">
        <f>E64+E65+E66</f>
        <v>0</v>
      </c>
      <c r="F63" s="6">
        <f t="shared" si="0"/>
        <v>0</v>
      </c>
      <c r="G63" s="6">
        <f t="shared" si="13"/>
        <v>0</v>
      </c>
      <c r="H63" s="13">
        <v>0</v>
      </c>
      <c r="I63" s="13">
        <v>0</v>
      </c>
      <c r="J63" s="13">
        <f>J65+J66</f>
        <v>0</v>
      </c>
      <c r="K63" s="13">
        <f t="shared" si="1"/>
        <v>0</v>
      </c>
      <c r="L63" s="6">
        <f t="shared" si="9"/>
        <v>0</v>
      </c>
      <c r="M63" s="13">
        <v>0</v>
      </c>
      <c r="N63" s="13">
        <v>0</v>
      </c>
      <c r="O63" s="13">
        <f>O65+O66+O64</f>
        <v>118611.90000000001</v>
      </c>
      <c r="P63" s="13">
        <f>P65+P66+P64</f>
        <v>127588.6</v>
      </c>
      <c r="Q63" s="13">
        <f>Q65+Q66+Q64</f>
        <v>467554.9</v>
      </c>
      <c r="R63" s="13">
        <f t="shared" si="3"/>
        <v>118611.90000000001</v>
      </c>
      <c r="S63" s="13">
        <f>O63+H63</f>
        <v>118611.90000000001</v>
      </c>
      <c r="T63" s="6">
        <f t="shared" si="5"/>
        <v>127588.6</v>
      </c>
      <c r="U63" s="6">
        <f aca="true" t="shared" si="20" ref="U63:V66">P63+M63</f>
        <v>127588.6</v>
      </c>
      <c r="V63" s="6">
        <f t="shared" si="20"/>
        <v>467554.9</v>
      </c>
      <c r="W63" s="13">
        <f>W65+W66+W64</f>
        <v>0</v>
      </c>
      <c r="X63" s="21"/>
    </row>
    <row r="64" spans="1:24" ht="15.75">
      <c r="A64" s="9">
        <v>11</v>
      </c>
      <c r="B64" s="7" t="s">
        <v>5</v>
      </c>
      <c r="C64" s="5" t="s">
        <v>87</v>
      </c>
      <c r="D64" s="6">
        <v>0</v>
      </c>
      <c r="E64" s="6"/>
      <c r="F64" s="6">
        <f t="shared" si="0"/>
        <v>0</v>
      </c>
      <c r="G64" s="6">
        <f t="shared" si="13"/>
        <v>0</v>
      </c>
      <c r="H64" s="6">
        <v>0</v>
      </c>
      <c r="I64" s="6">
        <v>0</v>
      </c>
      <c r="J64" s="6"/>
      <c r="K64" s="6">
        <f t="shared" si="1"/>
        <v>0</v>
      </c>
      <c r="L64" s="6">
        <f t="shared" si="9"/>
        <v>0</v>
      </c>
      <c r="M64" s="6">
        <v>0</v>
      </c>
      <c r="N64" s="6">
        <v>0</v>
      </c>
      <c r="O64" s="6">
        <f>10667.7+4901.6</f>
        <v>15569.300000000001</v>
      </c>
      <c r="P64" s="6">
        <f>16909.5+4956.1</f>
        <v>21865.6</v>
      </c>
      <c r="Q64" s="6">
        <f>14118.9+5006.1</f>
        <v>19125</v>
      </c>
      <c r="R64" s="6">
        <f t="shared" si="3"/>
        <v>15569.300000000001</v>
      </c>
      <c r="S64" s="6">
        <f>O64+H64</f>
        <v>15569.300000000001</v>
      </c>
      <c r="T64" s="6">
        <f t="shared" si="5"/>
        <v>21865.6</v>
      </c>
      <c r="U64" s="6">
        <f>P64+M64</f>
        <v>21865.6</v>
      </c>
      <c r="V64" s="6">
        <f>Q64+N64</f>
        <v>19125</v>
      </c>
      <c r="W64" s="6"/>
      <c r="X64" s="23"/>
    </row>
    <row r="65" spans="1:24" ht="15.75">
      <c r="A65" s="9">
        <v>11</v>
      </c>
      <c r="B65" s="7" t="s">
        <v>8</v>
      </c>
      <c r="C65" s="5" t="s">
        <v>85</v>
      </c>
      <c r="D65" s="6">
        <v>0</v>
      </c>
      <c r="E65" s="6"/>
      <c r="F65" s="6">
        <f t="shared" si="0"/>
        <v>0</v>
      </c>
      <c r="G65" s="6">
        <f t="shared" si="13"/>
        <v>0</v>
      </c>
      <c r="H65" s="6">
        <v>0</v>
      </c>
      <c r="I65" s="6">
        <v>0</v>
      </c>
      <c r="J65" s="6"/>
      <c r="K65" s="6">
        <f t="shared" si="1"/>
        <v>0</v>
      </c>
      <c r="L65" s="6">
        <f t="shared" si="9"/>
        <v>0</v>
      </c>
      <c r="M65" s="6">
        <v>0</v>
      </c>
      <c r="N65" s="6">
        <v>0</v>
      </c>
      <c r="O65" s="6">
        <f>1032+4248+3568+3042.8+3100+10173+2226+254+284.8+52786.5+14734.4+70</f>
        <v>95519.5</v>
      </c>
      <c r="P65" s="6">
        <f>1108.4+4562.4+3832+3128.3+3329.4+2642+7738.3+2390.7+208.4+284.8+53098.6+15824.7</f>
        <v>98148</v>
      </c>
      <c r="Q65" s="6">
        <f>1178.2+4849.8+4073.5+3325.4+3539.2+2808.5+7779.7+2541.3+221.5+284.8+53379.6+16821.7+340000</f>
        <v>440803.2</v>
      </c>
      <c r="R65" s="6">
        <f t="shared" si="3"/>
        <v>95519.5</v>
      </c>
      <c r="S65" s="6">
        <f>O65+H65</f>
        <v>95519.5</v>
      </c>
      <c r="T65" s="6">
        <f t="shared" si="5"/>
        <v>98148</v>
      </c>
      <c r="U65" s="6">
        <f t="shared" si="20"/>
        <v>98148</v>
      </c>
      <c r="V65" s="6">
        <f t="shared" si="20"/>
        <v>440803.2</v>
      </c>
      <c r="W65" s="6"/>
      <c r="X65" s="21"/>
    </row>
    <row r="66" spans="1:24" ht="15.75">
      <c r="A66" s="9">
        <v>11</v>
      </c>
      <c r="B66" s="7" t="s">
        <v>33</v>
      </c>
      <c r="C66" s="5" t="s">
        <v>86</v>
      </c>
      <c r="D66" s="6">
        <v>0</v>
      </c>
      <c r="E66" s="6"/>
      <c r="F66" s="6">
        <f t="shared" si="0"/>
        <v>0</v>
      </c>
      <c r="G66" s="6">
        <f t="shared" si="13"/>
        <v>0</v>
      </c>
      <c r="H66" s="6">
        <v>0</v>
      </c>
      <c r="I66" s="6">
        <v>0</v>
      </c>
      <c r="J66" s="6"/>
      <c r="K66" s="6">
        <f t="shared" si="1"/>
        <v>0</v>
      </c>
      <c r="L66" s="6">
        <f t="shared" si="9"/>
        <v>0</v>
      </c>
      <c r="M66" s="6">
        <v>0</v>
      </c>
      <c r="N66" s="6">
        <v>0</v>
      </c>
      <c r="O66" s="6">
        <f>1086+6437.1</f>
        <v>7523.1</v>
      </c>
      <c r="P66" s="6">
        <f>6489+1086</f>
        <v>7575</v>
      </c>
      <c r="Q66" s="6">
        <f>6540.7+1086</f>
        <v>7626.7</v>
      </c>
      <c r="R66" s="6">
        <f t="shared" si="3"/>
        <v>7523.1</v>
      </c>
      <c r="S66" s="6">
        <f>O66+H66</f>
        <v>7523.1</v>
      </c>
      <c r="T66" s="6">
        <f t="shared" si="5"/>
        <v>7575</v>
      </c>
      <c r="U66" s="6">
        <f t="shared" si="20"/>
        <v>7575</v>
      </c>
      <c r="V66" s="6">
        <f t="shared" si="20"/>
        <v>7626.7</v>
      </c>
      <c r="W66" s="6"/>
      <c r="X66" s="21"/>
    </row>
    <row r="67" spans="1:24" s="14" customFormat="1" ht="15.75">
      <c r="A67" s="19" t="s">
        <v>64</v>
      </c>
      <c r="B67" s="19" t="s">
        <v>64</v>
      </c>
      <c r="C67" s="12" t="s">
        <v>65</v>
      </c>
      <c r="D67" s="13">
        <v>854696.9</v>
      </c>
      <c r="E67" s="13">
        <v>94802.896</v>
      </c>
      <c r="F67" s="6">
        <f t="shared" si="0"/>
        <v>949499.796</v>
      </c>
      <c r="G67" s="6">
        <f t="shared" si="13"/>
        <v>-854696.9</v>
      </c>
      <c r="H67" s="13">
        <v>0</v>
      </c>
      <c r="I67" s="13">
        <v>1540450.4</v>
      </c>
      <c r="J67" s="13"/>
      <c r="K67" s="6">
        <f t="shared" si="1"/>
        <v>1540450.4</v>
      </c>
      <c r="L67" s="6">
        <f t="shared" si="9"/>
        <v>-950448.7</v>
      </c>
      <c r="M67" s="13">
        <v>590001.7</v>
      </c>
      <c r="N67" s="13">
        <v>1883631.5</v>
      </c>
      <c r="O67" s="13">
        <f>94802.896+5312.6-100115.496</f>
        <v>0</v>
      </c>
      <c r="P67" s="13">
        <v>188771.3</v>
      </c>
      <c r="Q67" s="13">
        <v>141043.3</v>
      </c>
      <c r="R67" s="13">
        <f t="shared" si="3"/>
        <v>-854696.9</v>
      </c>
      <c r="S67" s="13">
        <f t="shared" si="4"/>
        <v>0</v>
      </c>
      <c r="T67" s="6">
        <f t="shared" si="5"/>
        <v>-761677.3999999999</v>
      </c>
      <c r="U67" s="6">
        <f t="shared" si="6"/>
        <v>778773</v>
      </c>
      <c r="V67" s="6">
        <f t="shared" si="7"/>
        <v>2024674.8</v>
      </c>
      <c r="W67" s="13"/>
      <c r="X67" s="21"/>
    </row>
    <row r="68" spans="1:24" s="14" customFormat="1" ht="15.75">
      <c r="A68" s="20"/>
      <c r="B68" s="11"/>
      <c r="C68" s="12" t="s">
        <v>66</v>
      </c>
      <c r="D68" s="13">
        <f>D67+D61+D56+D47+D43+D38+D35+D30+D26+D22+D11+D63</f>
        <v>19945848.199999996</v>
      </c>
      <c r="E68" s="13">
        <f>E67+E61+E56+E47+E43+E38+E35+E30+E26+E22+E11+E63</f>
        <v>515132.1</v>
      </c>
      <c r="F68" s="6">
        <f>D68+E68</f>
        <v>20460980.299999997</v>
      </c>
      <c r="G68" s="13">
        <f>G67+G61+G56+G47+G43+G38+G35+G30+G26+G22+G11+G63</f>
        <v>-763835.0999999992</v>
      </c>
      <c r="H68" s="13">
        <f>H67+H61+H56+H47+H43+H38+H35+H30+H26+H22+H11+H63</f>
        <v>19182013.1</v>
      </c>
      <c r="I68" s="13">
        <f>I67+I61+I56+I47+I43+I38+I35+I30+I26+I22+I11+I63</f>
        <v>20809385.900000002</v>
      </c>
      <c r="J68" s="13">
        <f>J67+J61+J56+J47+J43+J38+J35+J30+J26+J22+J11+J63</f>
        <v>0</v>
      </c>
      <c r="K68" s="6">
        <f>I68+J68</f>
        <v>20809385.900000002</v>
      </c>
      <c r="L68" s="13">
        <f aca="true" t="shared" si="21" ref="L68:Q68">L67+L61+L56+L47+L43+L38+L35+L30+L26+L22+L11+L63</f>
        <v>-396776.29999999976</v>
      </c>
      <c r="M68" s="13">
        <f t="shared" si="21"/>
        <v>20412609.6</v>
      </c>
      <c r="N68" s="13">
        <f t="shared" si="21"/>
        <v>20455271.200000003</v>
      </c>
      <c r="O68" s="13">
        <f t="shared" si="21"/>
        <v>2017644.2000000002</v>
      </c>
      <c r="P68" s="13">
        <f t="shared" si="21"/>
        <v>214117.90000000023</v>
      </c>
      <c r="Q68" s="13">
        <f t="shared" si="21"/>
        <v>175291.1000000001</v>
      </c>
      <c r="R68" s="13">
        <f>S68-D68</f>
        <v>1253809.1000000052</v>
      </c>
      <c r="S68" s="13">
        <f>O68+H68</f>
        <v>21199657.3</v>
      </c>
      <c r="T68" s="6">
        <f>U68-I68</f>
        <v>-182658.40000000224</v>
      </c>
      <c r="U68" s="6">
        <f>P68+M68</f>
        <v>20626727.5</v>
      </c>
      <c r="V68" s="6">
        <f>Q68+N68</f>
        <v>20630562.300000004</v>
      </c>
      <c r="W68" s="13">
        <f>W67+W61+W56+W47+W43+W38+W35+W30+W26+W22+W11+W63</f>
        <v>0</v>
      </c>
      <c r="X68" s="21"/>
    </row>
  </sheetData>
  <sheetProtection password="CF5C" sheet="1" objects="1" scenarios="1"/>
  <mergeCells count="21">
    <mergeCell ref="F9:F10"/>
    <mergeCell ref="O9:Q9"/>
    <mergeCell ref="W9:W10"/>
    <mergeCell ref="A9:A10"/>
    <mergeCell ref="B9:B10"/>
    <mergeCell ref="C9:C10"/>
    <mergeCell ref="D9:D10"/>
    <mergeCell ref="I9:I10"/>
    <mergeCell ref="N9:N10"/>
    <mergeCell ref="G9:H9"/>
    <mergeCell ref="L9:M9"/>
    <mergeCell ref="R9:S9"/>
    <mergeCell ref="T9:U9"/>
    <mergeCell ref="V9:V10"/>
    <mergeCell ref="R1:S1"/>
    <mergeCell ref="C2:S2"/>
    <mergeCell ref="R3:S3"/>
    <mergeCell ref="A6:S6"/>
    <mergeCell ref="E9:E10"/>
    <mergeCell ref="J9:J10"/>
    <mergeCell ref="K9:K10"/>
  </mergeCells>
  <printOptions/>
  <pageMargins left="0.7874015748031497" right="0.15748031496062992" top="0.3937007874015748" bottom="0.4330708661417323" header="0.5118110236220472" footer="0.15748031496062992"/>
  <pageSetup fitToHeight="2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326-104</dc:creator>
  <cp:keywords/>
  <dc:description/>
  <cp:lastModifiedBy>EKolyshkina</cp:lastModifiedBy>
  <cp:lastPrinted>2010-12-01T05:43:43Z</cp:lastPrinted>
  <dcterms:created xsi:type="dcterms:W3CDTF">2009-10-24T08:23:52Z</dcterms:created>
  <dcterms:modified xsi:type="dcterms:W3CDTF">2010-12-06T12:09:30Z</dcterms:modified>
  <cp:category/>
  <cp:version/>
  <cp:contentType/>
  <cp:contentStatus/>
</cp:coreProperties>
</file>