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ение № 9" sheetId="1" r:id="rId1"/>
  </sheets>
  <definedNames>
    <definedName name="_xlnm.Print_Titles" localSheetId="0">'Приложение № 9'!$8:$9</definedName>
  </definedNames>
  <calcPr fullCalcOnLoad="1"/>
</workbook>
</file>

<file path=xl/sharedStrings.xml><?xml version="1.0" encoding="utf-8"?>
<sst xmlns="http://schemas.openxmlformats.org/spreadsheetml/2006/main" count="179" uniqueCount="88">
  <si>
    <t>Раздел</t>
  </si>
  <si>
    <t>Подраз-дел</t>
  </si>
  <si>
    <t xml:space="preserve">Наименование </t>
  </si>
  <si>
    <t>изменения</t>
  </si>
  <si>
    <t>Формулы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</si>
  <si>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</si>
  <si>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</si>
  <si>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</si>
  <si>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</si>
  <si>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</si>
  <si>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</si>
  <si>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</si>
  <si>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</si>
  <si>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</si>
  <si>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</si>
  <si>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</si>
  <si>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</si>
  <si>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</si>
  <si>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</si>
  <si>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12</t>
  </si>
  <si>
    <t>Резервные фонды</t>
  </si>
  <si>
    <t>14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</si>
  <si>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</si>
  <si>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</si>
  <si>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</si>
  <si>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</si>
  <si>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</si>
  <si>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</si>
  <si>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</si>
  <si>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</si>
  <si>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</si>
  <si>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</si>
  <si>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</si>
  <si>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</si>
  <si>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</si>
  <si>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</si>
  <si>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</si>
  <si>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</si>
  <si>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</si>
  <si>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</si>
  <si>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</si>
  <si>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</si>
  <si>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</si>
  <si>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</si>
  <si>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</si>
  <si>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</si>
  <si>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</si>
  <si>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</si>
  <si>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</si>
  <si>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</si>
  <si>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</si>
  <si>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</si>
  <si>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</si>
  <si>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</si>
  <si>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10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</si>
  <si>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</si>
  <si>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</si>
  <si>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</si>
  <si>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</si>
  <si>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</si>
  <si>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99</t>
  </si>
  <si>
    <t>Условно утвержденные расходы</t>
  </si>
  <si>
    <t>ВСЕГО</t>
  </si>
  <si>
    <t>с учетом изменений</t>
  </si>
  <si>
    <t>2012 год (I чтение)</t>
  </si>
  <si>
    <t>2013 год (I чтение)</t>
  </si>
  <si>
    <t>13</t>
  </si>
  <si>
    <t>Массовый спорт</t>
  </si>
  <si>
    <t>Другие вопросы в области физической культуры и спорта</t>
  </si>
  <si>
    <t>Физическая культура</t>
  </si>
  <si>
    <t>Другие вопросы в области культуры, кинематографии</t>
  </si>
  <si>
    <t>Другие вопросы в области здравоохранения</t>
  </si>
  <si>
    <t>Судебная система</t>
  </si>
  <si>
    <t>Здравоохранение</t>
  </si>
  <si>
    <t>Культура и кинематография</t>
  </si>
  <si>
    <t xml:space="preserve">2012 год </t>
  </si>
  <si>
    <t xml:space="preserve">2013 год </t>
  </si>
  <si>
    <t>Дорожное хозяйство (дорожные фонды)</t>
  </si>
  <si>
    <t>2014 год (I чтение)</t>
  </si>
  <si>
    <t>Поправки ко II чтению</t>
  </si>
  <si>
    <t>2012 год</t>
  </si>
  <si>
    <t>2013 год</t>
  </si>
  <si>
    <t>2014 год</t>
  </si>
  <si>
    <t xml:space="preserve">Функциональная структура расходов бюджета города Перми на 2012 год </t>
  </si>
  <si>
    <t>Приложение № 9 к решению</t>
  </si>
  <si>
    <t xml:space="preserve"> Пермской городской Думы</t>
  </si>
  <si>
    <t>от 21.12.2011 № 250</t>
  </si>
  <si>
    <t>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</si>
</sst>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2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49" fontId="2" fillId="5" borderId="0" xfId="0" applyNumberFormat="1" applyFont="1" applyFill="1" applyAlignment="1">
      <alignment horizontal="center" wrapText="1"/>
    </xf>
    <xf numFmtId="0" fontId="1" fillId="5" borderId="10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/>
    </xf>
    <xf numFmtId="164" fontId="1" fillId="5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2" fillId="0" borderId="0" xfId="0" applyNumberFormat="1" applyFont="1" applyFill="1" applyAlignment="1">
      <alignment horizont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="75" zoomScaleNormal="75" zoomScalePageLayoutView="0" workbookViewId="0" topLeftCell="A1">
      <selection activeCell="C8" sqref="C8:C9"/>
    </sheetView>
  </sheetViews>
  <sheetFormatPr defaultColWidth="9.00390625" defaultRowHeight="12.75"/>
  <cols>
    <col min="1" max="1" width="8.125" style="1" customWidth="1"/>
    <col min="2" max="2" width="8.75390625" style="2" customWidth="1"/>
    <col min="3" max="3" width="69.875" style="3" customWidth="1"/>
    <col min="4" max="4" width="15.75390625" style="1" hidden="1" customWidth="1"/>
    <col min="5" max="5" width="17.00390625" style="1" hidden="1" customWidth="1"/>
    <col min="6" max="7" width="15.75390625" style="1" hidden="1" customWidth="1"/>
    <col min="8" max="8" width="17.375" style="1" hidden="1" customWidth="1"/>
    <col min="9" max="10" width="15.75390625" style="1" hidden="1" customWidth="1"/>
    <col min="11" max="13" width="15.75390625" style="23" hidden="1" customWidth="1"/>
    <col min="14" max="15" width="15.75390625" style="1" customWidth="1"/>
    <col min="16" max="18" width="15.75390625" style="1" hidden="1" customWidth="1"/>
    <col min="19" max="19" width="17.375" style="1" hidden="1" customWidth="1"/>
    <col min="20" max="16384" width="9.125" style="1" customWidth="1"/>
  </cols>
  <sheetData>
    <row r="1" spans="3:15" ht="15.75">
      <c r="C1" s="33" t="s">
        <v>84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3:15" ht="15.75">
      <c r="C2" s="34" t="s">
        <v>85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3:15" ht="15.75">
      <c r="C3" s="33" t="s">
        <v>86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5" spans="1:15" ht="15.75" customHeight="1">
      <c r="A5" s="35" t="s">
        <v>83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9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24"/>
      <c r="L6" s="24"/>
      <c r="M6" s="24"/>
      <c r="N6" s="15"/>
      <c r="O6" s="15"/>
      <c r="P6" s="15"/>
      <c r="Q6" s="15"/>
      <c r="R6" s="15"/>
      <c r="S6" s="15"/>
    </row>
    <row r="7" ht="15.75">
      <c r="O7" s="10" t="s">
        <v>87</v>
      </c>
    </row>
    <row r="8" spans="1:19" ht="21" customHeight="1">
      <c r="A8" s="38" t="s">
        <v>0</v>
      </c>
      <c r="B8" s="38" t="s">
        <v>1</v>
      </c>
      <c r="C8" s="28" t="s">
        <v>2</v>
      </c>
      <c r="D8" s="31" t="s">
        <v>75</v>
      </c>
      <c r="E8" s="29" t="s">
        <v>64</v>
      </c>
      <c r="F8" s="30"/>
      <c r="G8" s="31" t="s">
        <v>76</v>
      </c>
      <c r="H8" s="29" t="s">
        <v>65</v>
      </c>
      <c r="I8" s="30"/>
      <c r="J8" s="31" t="s">
        <v>78</v>
      </c>
      <c r="K8" s="36" t="s">
        <v>79</v>
      </c>
      <c r="L8" s="36"/>
      <c r="M8" s="36"/>
      <c r="N8" s="29" t="s">
        <v>75</v>
      </c>
      <c r="O8" s="30"/>
      <c r="P8" s="29" t="s">
        <v>65</v>
      </c>
      <c r="Q8" s="30"/>
      <c r="R8" s="31" t="s">
        <v>78</v>
      </c>
      <c r="S8" s="37" t="s">
        <v>4</v>
      </c>
    </row>
    <row r="9" spans="1:19" ht="33.75" customHeight="1">
      <c r="A9" s="38"/>
      <c r="B9" s="38"/>
      <c r="C9" s="28"/>
      <c r="D9" s="32"/>
      <c r="E9" s="21" t="s">
        <v>3</v>
      </c>
      <c r="F9" s="21" t="s">
        <v>63</v>
      </c>
      <c r="G9" s="32"/>
      <c r="H9" s="21" t="s">
        <v>3</v>
      </c>
      <c r="I9" s="21" t="s">
        <v>63</v>
      </c>
      <c r="J9" s="32"/>
      <c r="K9" s="25" t="s">
        <v>80</v>
      </c>
      <c r="L9" s="25" t="s">
        <v>81</v>
      </c>
      <c r="M9" s="25" t="s">
        <v>82</v>
      </c>
      <c r="N9" s="21" t="s">
        <v>3</v>
      </c>
      <c r="O9" s="21" t="s">
        <v>63</v>
      </c>
      <c r="P9" s="21" t="s">
        <v>3</v>
      </c>
      <c r="Q9" s="21" t="s">
        <v>63</v>
      </c>
      <c r="R9" s="32"/>
      <c r="S9" s="37"/>
    </row>
    <row r="10" spans="1:20" s="14" customFormat="1" ht="15.75">
      <c r="A10" s="11" t="s">
        <v>5</v>
      </c>
      <c r="B10" s="11" t="s">
        <v>6</v>
      </c>
      <c r="C10" s="12" t="s">
        <v>7</v>
      </c>
      <c r="D10" s="13">
        <f aca="true" t="shared" si="0" ref="D10:S10">SUM(D11:D18)</f>
        <v>1701186.2000000002</v>
      </c>
      <c r="E10" s="13">
        <f t="shared" si="0"/>
        <v>221767.5499999999</v>
      </c>
      <c r="F10" s="13">
        <f t="shared" si="0"/>
        <v>1922953.75</v>
      </c>
      <c r="G10" s="13">
        <f t="shared" si="0"/>
        <v>1639256.1</v>
      </c>
      <c r="H10" s="13">
        <f t="shared" si="0"/>
        <v>44217.59999999979</v>
      </c>
      <c r="I10" s="13">
        <f t="shared" si="0"/>
        <v>1683473.7</v>
      </c>
      <c r="J10" s="13">
        <f t="shared" si="0"/>
        <v>1684160.2</v>
      </c>
      <c r="K10" s="26">
        <f>SUM(K11:K18)</f>
        <v>-13189.199999999999</v>
      </c>
      <c r="L10" s="26">
        <f>SUM(L11:L18)</f>
        <v>-1874.1</v>
      </c>
      <c r="M10" s="26">
        <f>SUM(M11:M18)</f>
        <v>42338</v>
      </c>
      <c r="N10" s="13">
        <f aca="true" t="shared" si="1" ref="N10:N60">O10-D10</f>
        <v>208578.34999999986</v>
      </c>
      <c r="O10" s="13">
        <f aca="true" t="shared" si="2" ref="O10:O60">F10+K10</f>
        <v>1909764.55</v>
      </c>
      <c r="P10" s="6">
        <f aca="true" t="shared" si="3" ref="P10:P60">Q10-G10</f>
        <v>42343.49999999977</v>
      </c>
      <c r="Q10" s="6">
        <f aca="true" t="shared" si="4" ref="Q10:Q60">I10+L10</f>
        <v>1681599.5999999999</v>
      </c>
      <c r="R10" s="6">
        <f aca="true" t="shared" si="5" ref="R10:R60">J10+M10</f>
        <v>1726498.2</v>
      </c>
      <c r="S10" s="13">
        <f t="shared" si="0"/>
        <v>0</v>
      </c>
      <c r="T10" s="22"/>
    </row>
    <row r="11" spans="1:20" ht="31.5">
      <c r="A11" s="4" t="s">
        <v>5</v>
      </c>
      <c r="B11" s="7" t="s">
        <v>8</v>
      </c>
      <c r="C11" s="5" t="s">
        <v>9</v>
      </c>
      <c r="D11" s="6">
        <v>2879.9</v>
      </c>
      <c r="E11" s="6">
        <f>F11-D11</f>
        <v>100.19999999999982</v>
      </c>
      <c r="F11" s="6">
        <v>2980.1</v>
      </c>
      <c r="G11" s="6">
        <v>2879.9</v>
      </c>
      <c r="H11" s="6">
        <f>I11-G11</f>
        <v>100.19999999999982</v>
      </c>
      <c r="I11" s="6">
        <v>2980.1</v>
      </c>
      <c r="J11" s="6">
        <v>2980.1</v>
      </c>
      <c r="K11" s="27"/>
      <c r="L11" s="27"/>
      <c r="M11" s="27"/>
      <c r="N11" s="6">
        <f t="shared" si="1"/>
        <v>100.19999999999982</v>
      </c>
      <c r="O11" s="6">
        <f t="shared" si="2"/>
        <v>2980.1</v>
      </c>
      <c r="P11" s="6">
        <f t="shared" si="3"/>
        <v>100.19999999999982</v>
      </c>
      <c r="Q11" s="6">
        <f t="shared" si="4"/>
        <v>2980.1</v>
      </c>
      <c r="R11" s="6">
        <f t="shared" si="5"/>
        <v>2980.1</v>
      </c>
      <c r="S11" s="6"/>
      <c r="T11" s="22"/>
    </row>
    <row r="12" spans="1:20" ht="47.25">
      <c r="A12" s="4" t="s">
        <v>5</v>
      </c>
      <c r="B12" s="7" t="s">
        <v>10</v>
      </c>
      <c r="C12" s="5" t="s">
        <v>11</v>
      </c>
      <c r="D12" s="6">
        <v>139672.6</v>
      </c>
      <c r="E12" s="6">
        <f aca="true" t="shared" si="6" ref="E12:E61">F12-D12</f>
        <v>2940.399999999994</v>
      </c>
      <c r="F12" s="6">
        <v>142613</v>
      </c>
      <c r="G12" s="6">
        <v>144704.7</v>
      </c>
      <c r="H12" s="6">
        <f aca="true" t="shared" si="7" ref="H12:H61">I12-G12</f>
        <v>2860.1999999999825</v>
      </c>
      <c r="I12" s="6">
        <v>147564.9</v>
      </c>
      <c r="J12" s="6">
        <v>151553.7</v>
      </c>
      <c r="K12" s="27">
        <v>-2000</v>
      </c>
      <c r="L12" s="27">
        <v>-2000</v>
      </c>
      <c r="M12" s="27">
        <v>-2000</v>
      </c>
      <c r="N12" s="6">
        <f t="shared" si="1"/>
        <v>940.3999999999942</v>
      </c>
      <c r="O12" s="6">
        <f t="shared" si="2"/>
        <v>140613</v>
      </c>
      <c r="P12" s="6">
        <f t="shared" si="3"/>
        <v>860.1999999999825</v>
      </c>
      <c r="Q12" s="6">
        <f t="shared" si="4"/>
        <v>145564.9</v>
      </c>
      <c r="R12" s="6">
        <f t="shared" si="5"/>
        <v>149553.7</v>
      </c>
      <c r="S12" s="6"/>
      <c r="T12" s="22"/>
    </row>
    <row r="13" spans="1:20" ht="47.25">
      <c r="A13" s="4" t="s">
        <v>5</v>
      </c>
      <c r="B13" s="7" t="s">
        <v>12</v>
      </c>
      <c r="C13" s="5" t="s">
        <v>13</v>
      </c>
      <c r="D13" s="6">
        <v>597675.6000000001</v>
      </c>
      <c r="E13" s="6">
        <f t="shared" si="6"/>
        <v>-75424.8000000001</v>
      </c>
      <c r="F13" s="6">
        <v>522250.8</v>
      </c>
      <c r="G13" s="6">
        <v>594652.3</v>
      </c>
      <c r="H13" s="6">
        <f t="shared" si="7"/>
        <v>-82703.20000000007</v>
      </c>
      <c r="I13" s="6">
        <v>511949.1</v>
      </c>
      <c r="J13" s="6">
        <v>514975.6</v>
      </c>
      <c r="K13" s="27">
        <f>-17244.6+877.5+184</f>
        <v>-16183.099999999999</v>
      </c>
      <c r="L13" s="27">
        <f>-1874.1+877.5+196</f>
        <v>-800.5999999999999</v>
      </c>
      <c r="M13" s="27">
        <f>-524+877.5+204</f>
        <v>557.5</v>
      </c>
      <c r="N13" s="6">
        <f t="shared" si="1"/>
        <v>-91607.90000000008</v>
      </c>
      <c r="O13" s="6">
        <f t="shared" si="2"/>
        <v>506067.7</v>
      </c>
      <c r="P13" s="6">
        <f t="shared" si="3"/>
        <v>-83503.80000000005</v>
      </c>
      <c r="Q13" s="6">
        <f t="shared" si="4"/>
        <v>511148.5</v>
      </c>
      <c r="R13" s="6">
        <f t="shared" si="5"/>
        <v>515533.1</v>
      </c>
      <c r="S13" s="6"/>
      <c r="T13" s="22"/>
    </row>
    <row r="14" spans="1:20" ht="15.75">
      <c r="A14" s="4" t="s">
        <v>5</v>
      </c>
      <c r="B14" s="7" t="s">
        <v>33</v>
      </c>
      <c r="C14" s="5" t="s">
        <v>72</v>
      </c>
      <c r="D14" s="6">
        <v>960.0000000000001</v>
      </c>
      <c r="E14" s="6">
        <f t="shared" si="6"/>
        <v>-537.9000000000001</v>
      </c>
      <c r="F14" s="6">
        <v>422.1</v>
      </c>
      <c r="G14" s="6">
        <v>0</v>
      </c>
      <c r="H14" s="6">
        <f t="shared" si="7"/>
        <v>0</v>
      </c>
      <c r="I14" s="6">
        <v>0</v>
      </c>
      <c r="J14" s="6">
        <v>0</v>
      </c>
      <c r="K14" s="27"/>
      <c r="L14" s="27"/>
      <c r="M14" s="27"/>
      <c r="N14" s="6">
        <f t="shared" si="1"/>
        <v>-537.9000000000001</v>
      </c>
      <c r="O14" s="6">
        <f t="shared" si="2"/>
        <v>422.1</v>
      </c>
      <c r="P14" s="6">
        <f t="shared" si="3"/>
        <v>0</v>
      </c>
      <c r="Q14" s="6">
        <f t="shared" si="4"/>
        <v>0</v>
      </c>
      <c r="R14" s="6">
        <f t="shared" si="5"/>
        <v>0</v>
      </c>
      <c r="S14" s="6"/>
      <c r="T14" s="22"/>
    </row>
    <row r="15" spans="1:20" ht="31.5">
      <c r="A15" s="4" t="s">
        <v>5</v>
      </c>
      <c r="B15" s="7" t="s">
        <v>14</v>
      </c>
      <c r="C15" s="5" t="s">
        <v>15</v>
      </c>
      <c r="D15" s="6">
        <v>107363.2</v>
      </c>
      <c r="E15" s="6">
        <f t="shared" si="6"/>
        <v>-2049.0999999999913</v>
      </c>
      <c r="F15" s="6">
        <v>105314.1</v>
      </c>
      <c r="G15" s="6">
        <v>108151.9</v>
      </c>
      <c r="H15" s="6">
        <f t="shared" si="7"/>
        <v>-2097.5</v>
      </c>
      <c r="I15" s="6">
        <v>106054.4</v>
      </c>
      <c r="J15" s="6">
        <v>106576.9</v>
      </c>
      <c r="K15" s="27">
        <f>-100-877.5-184</f>
        <v>-1161.5</v>
      </c>
      <c r="L15" s="27">
        <f>-877.5-196</f>
        <v>-1073.5</v>
      </c>
      <c r="M15" s="27">
        <f>-877.5-204</f>
        <v>-1081.5</v>
      </c>
      <c r="N15" s="6">
        <f t="shared" si="1"/>
        <v>-3210.5999999999913</v>
      </c>
      <c r="O15" s="6">
        <f t="shared" si="2"/>
        <v>104152.6</v>
      </c>
      <c r="P15" s="6">
        <f t="shared" si="3"/>
        <v>-3171</v>
      </c>
      <c r="Q15" s="6">
        <f t="shared" si="4"/>
        <v>104980.9</v>
      </c>
      <c r="R15" s="6">
        <f t="shared" si="5"/>
        <v>105495.4</v>
      </c>
      <c r="S15" s="6"/>
      <c r="T15" s="22"/>
    </row>
    <row r="16" spans="1:20" ht="15.75">
      <c r="A16" s="4" t="s">
        <v>5</v>
      </c>
      <c r="B16" s="7" t="s">
        <v>16</v>
      </c>
      <c r="C16" s="5" t="s">
        <v>17</v>
      </c>
      <c r="D16" s="6">
        <v>4746</v>
      </c>
      <c r="E16" s="6">
        <f t="shared" si="6"/>
        <v>158.30000000000018</v>
      </c>
      <c r="F16" s="6">
        <v>4904.3</v>
      </c>
      <c r="G16" s="6">
        <v>4760.7</v>
      </c>
      <c r="H16" s="6">
        <f t="shared" si="7"/>
        <v>158</v>
      </c>
      <c r="I16" s="6">
        <v>4918.7</v>
      </c>
      <c r="J16" s="6">
        <v>4930.4</v>
      </c>
      <c r="K16" s="27"/>
      <c r="L16" s="27"/>
      <c r="M16" s="27"/>
      <c r="N16" s="6">
        <f t="shared" si="1"/>
        <v>158.30000000000018</v>
      </c>
      <c r="O16" s="6">
        <f t="shared" si="2"/>
        <v>4904.3</v>
      </c>
      <c r="P16" s="6">
        <f t="shared" si="3"/>
        <v>158</v>
      </c>
      <c r="Q16" s="6">
        <f t="shared" si="4"/>
        <v>4918.7</v>
      </c>
      <c r="R16" s="6">
        <f t="shared" si="5"/>
        <v>4930.4</v>
      </c>
      <c r="S16" s="6"/>
      <c r="T16" s="22"/>
    </row>
    <row r="17" spans="1:20" ht="15.75">
      <c r="A17" s="4" t="s">
        <v>5</v>
      </c>
      <c r="B17" s="7" t="s">
        <v>18</v>
      </c>
      <c r="C17" s="5" t="s">
        <v>20</v>
      </c>
      <c r="D17" s="6">
        <v>77281.6</v>
      </c>
      <c r="E17" s="6">
        <f t="shared" si="6"/>
        <v>503.6999999999971</v>
      </c>
      <c r="F17" s="6">
        <v>77785.3</v>
      </c>
      <c r="G17" s="6">
        <v>82150.3</v>
      </c>
      <c r="H17" s="6">
        <f t="shared" si="7"/>
        <v>379.8999999999942</v>
      </c>
      <c r="I17" s="6">
        <v>82530.2</v>
      </c>
      <c r="J17" s="6">
        <v>86409.1</v>
      </c>
      <c r="K17" s="27">
        <v>2100</v>
      </c>
      <c r="L17" s="27">
        <v>2000</v>
      </c>
      <c r="M17" s="27">
        <f>42862+2000</f>
        <v>44862</v>
      </c>
      <c r="N17" s="6">
        <f t="shared" si="1"/>
        <v>2603.699999999997</v>
      </c>
      <c r="O17" s="6">
        <f t="shared" si="2"/>
        <v>79885.3</v>
      </c>
      <c r="P17" s="6">
        <f t="shared" si="3"/>
        <v>2379.899999999994</v>
      </c>
      <c r="Q17" s="6">
        <f t="shared" si="4"/>
        <v>84530.2</v>
      </c>
      <c r="R17" s="6">
        <f t="shared" si="5"/>
        <v>131271.1</v>
      </c>
      <c r="S17" s="6"/>
      <c r="T17" s="22"/>
    </row>
    <row r="18" spans="1:20" ht="15.75">
      <c r="A18" s="4" t="s">
        <v>5</v>
      </c>
      <c r="B18" s="7" t="s">
        <v>66</v>
      </c>
      <c r="C18" s="5" t="s">
        <v>22</v>
      </c>
      <c r="D18" s="6">
        <v>770607.3</v>
      </c>
      <c r="E18" s="6">
        <f t="shared" si="6"/>
        <v>296076.75</v>
      </c>
      <c r="F18" s="6">
        <f>1029851.25+36832.8</f>
        <v>1066684.05</v>
      </c>
      <c r="G18" s="6">
        <v>701956.3000000002</v>
      </c>
      <c r="H18" s="6">
        <f t="shared" si="7"/>
        <v>125519.99999999988</v>
      </c>
      <c r="I18" s="6">
        <f>679557.8+147918.5</f>
        <v>827476.3</v>
      </c>
      <c r="J18" s="6">
        <f>668643.2+148091.2</f>
        <v>816734.3999999999</v>
      </c>
      <c r="K18" s="27">
        <f>4000+55.4</f>
        <v>4055.4</v>
      </c>
      <c r="L18" s="27"/>
      <c r="M18" s="27"/>
      <c r="N18" s="6">
        <f t="shared" si="1"/>
        <v>300132.1499999999</v>
      </c>
      <c r="O18" s="6">
        <f t="shared" si="2"/>
        <v>1070739.45</v>
      </c>
      <c r="P18" s="6">
        <f t="shared" si="3"/>
        <v>125519.99999999988</v>
      </c>
      <c r="Q18" s="6">
        <f t="shared" si="4"/>
        <v>827476.3</v>
      </c>
      <c r="R18" s="6">
        <f t="shared" si="5"/>
        <v>816734.3999999999</v>
      </c>
      <c r="S18" s="6"/>
      <c r="T18" s="22"/>
    </row>
    <row r="19" spans="1:20" s="14" customFormat="1" ht="31.5">
      <c r="A19" s="11" t="s">
        <v>10</v>
      </c>
      <c r="B19" s="11" t="s">
        <v>6</v>
      </c>
      <c r="C19" s="16" t="s">
        <v>23</v>
      </c>
      <c r="D19" s="13">
        <f aca="true" t="shared" si="8" ref="D19:S19">SUM(D20:D22)</f>
        <v>1237914.2</v>
      </c>
      <c r="E19" s="13">
        <f t="shared" si="8"/>
        <v>-1104542.8</v>
      </c>
      <c r="F19" s="13">
        <f t="shared" si="8"/>
        <v>133371.4</v>
      </c>
      <c r="G19" s="13">
        <f t="shared" si="8"/>
        <v>1226390</v>
      </c>
      <c r="H19" s="13">
        <f t="shared" si="8"/>
        <v>-1109165.7</v>
      </c>
      <c r="I19" s="13">
        <f t="shared" si="8"/>
        <v>117224.29999999999</v>
      </c>
      <c r="J19" s="13">
        <f t="shared" si="8"/>
        <v>118601.40000000001</v>
      </c>
      <c r="K19" s="26">
        <f>SUM(K20:K22)</f>
        <v>4369.9</v>
      </c>
      <c r="L19" s="26">
        <f>SUM(L20:L22)</f>
        <v>4465.1</v>
      </c>
      <c r="M19" s="26">
        <f>SUM(M20:M22)</f>
        <v>4543</v>
      </c>
      <c r="N19" s="13">
        <f t="shared" si="1"/>
        <v>-1100172.9</v>
      </c>
      <c r="O19" s="13">
        <f t="shared" si="2"/>
        <v>137741.3</v>
      </c>
      <c r="P19" s="6">
        <f t="shared" si="3"/>
        <v>-1104700.6</v>
      </c>
      <c r="Q19" s="6">
        <f t="shared" si="4"/>
        <v>121689.4</v>
      </c>
      <c r="R19" s="6">
        <f t="shared" si="5"/>
        <v>123144.40000000001</v>
      </c>
      <c r="S19" s="13">
        <f t="shared" si="8"/>
        <v>0</v>
      </c>
      <c r="T19" s="22"/>
    </row>
    <row r="20" spans="1:20" ht="15.75">
      <c r="A20" s="4" t="s">
        <v>10</v>
      </c>
      <c r="B20" s="7" t="s">
        <v>8</v>
      </c>
      <c r="C20" s="5" t="s">
        <v>24</v>
      </c>
      <c r="D20" s="6">
        <v>1102521.5</v>
      </c>
      <c r="E20" s="6">
        <f t="shared" si="6"/>
        <v>-1102521.5</v>
      </c>
      <c r="F20" s="6"/>
      <c r="G20" s="6">
        <v>1114375.5</v>
      </c>
      <c r="H20" s="6">
        <f t="shared" si="7"/>
        <v>-1114375.5</v>
      </c>
      <c r="I20" s="6"/>
      <c r="J20" s="6"/>
      <c r="K20" s="27"/>
      <c r="L20" s="27"/>
      <c r="M20" s="27"/>
      <c r="N20" s="6">
        <f t="shared" si="1"/>
        <v>-1102521.5</v>
      </c>
      <c r="O20" s="6">
        <f t="shared" si="2"/>
        <v>0</v>
      </c>
      <c r="P20" s="6">
        <f t="shared" si="3"/>
        <v>-1114375.5</v>
      </c>
      <c r="Q20" s="6">
        <f t="shared" si="4"/>
        <v>0</v>
      </c>
      <c r="R20" s="6">
        <f t="shared" si="5"/>
        <v>0</v>
      </c>
      <c r="S20" s="6"/>
      <c r="T20" s="22"/>
    </row>
    <row r="21" spans="1:20" ht="31.5">
      <c r="A21" s="4" t="s">
        <v>10</v>
      </c>
      <c r="B21" s="7" t="s">
        <v>25</v>
      </c>
      <c r="C21" s="8" t="s">
        <v>26</v>
      </c>
      <c r="D21" s="6">
        <v>100407.8</v>
      </c>
      <c r="E21" s="6">
        <f t="shared" si="6"/>
        <v>6077</v>
      </c>
      <c r="F21" s="6">
        <v>106484.8</v>
      </c>
      <c r="G21" s="6">
        <v>98014.7</v>
      </c>
      <c r="H21" s="6">
        <f t="shared" si="7"/>
        <v>6115.699999999997</v>
      </c>
      <c r="I21" s="6">
        <v>104130.4</v>
      </c>
      <c r="J21" s="6">
        <v>105377.8</v>
      </c>
      <c r="K21" s="27">
        <f>2807.8+1562.1</f>
        <v>4369.9</v>
      </c>
      <c r="L21" s="27">
        <f>2807.8+1657.3</f>
        <v>4465.1</v>
      </c>
      <c r="M21" s="27">
        <f>2807.8+1735.2</f>
        <v>4543</v>
      </c>
      <c r="N21" s="6">
        <f t="shared" si="1"/>
        <v>10446.899999999994</v>
      </c>
      <c r="O21" s="6">
        <f t="shared" si="2"/>
        <v>110854.7</v>
      </c>
      <c r="P21" s="6">
        <f t="shared" si="3"/>
        <v>10580.800000000003</v>
      </c>
      <c r="Q21" s="6">
        <f t="shared" si="4"/>
        <v>108595.5</v>
      </c>
      <c r="R21" s="6">
        <f t="shared" si="5"/>
        <v>109920.8</v>
      </c>
      <c r="S21" s="6"/>
      <c r="T21" s="22"/>
    </row>
    <row r="22" spans="1:20" ht="31.5">
      <c r="A22" s="4" t="s">
        <v>10</v>
      </c>
      <c r="B22" s="7" t="s">
        <v>21</v>
      </c>
      <c r="C22" s="5" t="s">
        <v>27</v>
      </c>
      <c r="D22" s="6">
        <v>34984.9</v>
      </c>
      <c r="E22" s="6">
        <f t="shared" si="6"/>
        <v>-8098.300000000003</v>
      </c>
      <c r="F22" s="6">
        <v>26886.6</v>
      </c>
      <c r="G22" s="6">
        <v>13999.8</v>
      </c>
      <c r="H22" s="6">
        <f t="shared" si="7"/>
        <v>-905.8999999999996</v>
      </c>
      <c r="I22" s="6">
        <v>13093.9</v>
      </c>
      <c r="J22" s="6">
        <v>13223.6</v>
      </c>
      <c r="K22" s="27"/>
      <c r="L22" s="27"/>
      <c r="M22" s="27"/>
      <c r="N22" s="6">
        <f t="shared" si="1"/>
        <v>-8098.300000000003</v>
      </c>
      <c r="O22" s="6">
        <f t="shared" si="2"/>
        <v>26886.6</v>
      </c>
      <c r="P22" s="6">
        <f t="shared" si="3"/>
        <v>-905.8999999999996</v>
      </c>
      <c r="Q22" s="6">
        <f t="shared" si="4"/>
        <v>13093.9</v>
      </c>
      <c r="R22" s="6">
        <f t="shared" si="5"/>
        <v>13223.6</v>
      </c>
      <c r="S22" s="6"/>
      <c r="T22" s="22"/>
    </row>
    <row r="23" spans="1:20" s="14" customFormat="1" ht="15.75">
      <c r="A23" s="11" t="s">
        <v>12</v>
      </c>
      <c r="B23" s="11" t="s">
        <v>6</v>
      </c>
      <c r="C23" s="12" t="s">
        <v>28</v>
      </c>
      <c r="D23" s="13">
        <f aca="true" t="shared" si="9" ref="D23:S23">SUM(D24:D27)</f>
        <v>1101530.5</v>
      </c>
      <c r="E23" s="13">
        <f t="shared" si="9"/>
        <v>2903201.4</v>
      </c>
      <c r="F23" s="13">
        <f t="shared" si="9"/>
        <v>4004731.9</v>
      </c>
      <c r="G23" s="13">
        <f t="shared" si="9"/>
        <v>981759.7999999999</v>
      </c>
      <c r="H23" s="13">
        <f t="shared" si="9"/>
        <v>2222087.6999999997</v>
      </c>
      <c r="I23" s="13">
        <f t="shared" si="9"/>
        <v>3203847.5</v>
      </c>
      <c r="J23" s="13">
        <f t="shared" si="9"/>
        <v>3462336.9000000004</v>
      </c>
      <c r="K23" s="26">
        <f>SUM(K24:K27)</f>
        <v>-288459.85000000003</v>
      </c>
      <c r="L23" s="26">
        <f>SUM(L24:L27)</f>
        <v>-342265.49999999994</v>
      </c>
      <c r="M23" s="26">
        <f>SUM(M24:M27)</f>
        <v>-259300.6</v>
      </c>
      <c r="N23" s="13">
        <f t="shared" si="1"/>
        <v>2614741.55</v>
      </c>
      <c r="O23" s="13">
        <f t="shared" si="2"/>
        <v>3716272.05</v>
      </c>
      <c r="P23" s="6">
        <f t="shared" si="3"/>
        <v>1879822.2000000002</v>
      </c>
      <c r="Q23" s="6">
        <f t="shared" si="4"/>
        <v>2861582</v>
      </c>
      <c r="R23" s="6">
        <f t="shared" si="5"/>
        <v>3203036.3000000003</v>
      </c>
      <c r="S23" s="13">
        <f t="shared" si="9"/>
        <v>0</v>
      </c>
      <c r="T23" s="22"/>
    </row>
    <row r="24" spans="1:20" ht="15.75">
      <c r="A24" s="4" t="s">
        <v>12</v>
      </c>
      <c r="B24" s="7" t="s">
        <v>16</v>
      </c>
      <c r="C24" s="5" t="s">
        <v>29</v>
      </c>
      <c r="D24" s="6">
        <v>21794.7</v>
      </c>
      <c r="E24" s="6">
        <f t="shared" si="6"/>
        <v>1189</v>
      </c>
      <c r="F24" s="6">
        <v>22983.7</v>
      </c>
      <c r="G24" s="6">
        <v>22015.5</v>
      </c>
      <c r="H24" s="6">
        <f t="shared" si="7"/>
        <v>1206.7999999999993</v>
      </c>
      <c r="I24" s="6">
        <v>23222.3</v>
      </c>
      <c r="J24" s="6">
        <v>23424.8</v>
      </c>
      <c r="K24" s="27"/>
      <c r="L24" s="27"/>
      <c r="M24" s="27"/>
      <c r="N24" s="6">
        <f t="shared" si="1"/>
        <v>1189</v>
      </c>
      <c r="O24" s="6">
        <f t="shared" si="2"/>
        <v>22983.7</v>
      </c>
      <c r="P24" s="6">
        <f t="shared" si="3"/>
        <v>1206.7999999999993</v>
      </c>
      <c r="Q24" s="6">
        <f t="shared" si="4"/>
        <v>23222.3</v>
      </c>
      <c r="R24" s="6">
        <f t="shared" si="5"/>
        <v>23424.8</v>
      </c>
      <c r="S24" s="6"/>
      <c r="T24" s="22"/>
    </row>
    <row r="25" spans="1:20" ht="15.75">
      <c r="A25" s="4" t="s">
        <v>12</v>
      </c>
      <c r="B25" s="7" t="s">
        <v>30</v>
      </c>
      <c r="C25" s="5" t="s">
        <v>31</v>
      </c>
      <c r="D25" s="6">
        <v>904938.1</v>
      </c>
      <c r="E25" s="6">
        <f t="shared" si="6"/>
        <v>-12616.699999999953</v>
      </c>
      <c r="F25" s="6">
        <v>892321.4</v>
      </c>
      <c r="G25" s="6">
        <v>905556.7</v>
      </c>
      <c r="H25" s="6">
        <f t="shared" si="7"/>
        <v>-18056.5</v>
      </c>
      <c r="I25" s="6">
        <v>887500.2</v>
      </c>
      <c r="J25" s="6">
        <v>918281.2</v>
      </c>
      <c r="K25" s="27">
        <f>-45317.4+700</f>
        <v>-44617.4</v>
      </c>
      <c r="L25" s="27">
        <f>-3000-149.1+840</f>
        <v>-2309.1</v>
      </c>
      <c r="M25" s="27">
        <f>-3000-156.1+700</f>
        <v>-2456.1</v>
      </c>
      <c r="N25" s="6">
        <f t="shared" si="1"/>
        <v>-57234.09999999998</v>
      </c>
      <c r="O25" s="6">
        <f t="shared" si="2"/>
        <v>847704</v>
      </c>
      <c r="P25" s="6">
        <f t="shared" si="3"/>
        <v>-20365.599999999977</v>
      </c>
      <c r="Q25" s="6">
        <f t="shared" si="4"/>
        <v>885191.1</v>
      </c>
      <c r="R25" s="6">
        <f t="shared" si="5"/>
        <v>915825.1</v>
      </c>
      <c r="S25" s="6"/>
      <c r="T25" s="22"/>
    </row>
    <row r="26" spans="1:20" ht="15.75">
      <c r="A26" s="4" t="s">
        <v>12</v>
      </c>
      <c r="B26" s="7" t="s">
        <v>25</v>
      </c>
      <c r="C26" s="5" t="s">
        <v>77</v>
      </c>
      <c r="D26" s="6">
        <v>0</v>
      </c>
      <c r="E26" s="6">
        <f t="shared" si="6"/>
        <v>2911252.5</v>
      </c>
      <c r="F26" s="6">
        <v>2911252.5</v>
      </c>
      <c r="G26" s="6">
        <v>0</v>
      </c>
      <c r="H26" s="6">
        <f t="shared" si="7"/>
        <v>2233921.6</v>
      </c>
      <c r="I26" s="6">
        <v>2233921.6</v>
      </c>
      <c r="J26" s="6">
        <v>2459641.2</v>
      </c>
      <c r="K26" s="27">
        <f>-49315-19400-101060.25-45580.6-27786.6-700</f>
        <v>-243842.45</v>
      </c>
      <c r="L26" s="27">
        <f>-31276-28255-35146.7-52651.9-55942.2-30078-25153.6-35274.7-39823.7-5514.6-840</f>
        <v>-339956.39999999997</v>
      </c>
      <c r="M26" s="27">
        <f>-30748.9-47114-54748.5-29661-26779.2-29558.4-32558.3-4976.2-700</f>
        <v>-256844.5</v>
      </c>
      <c r="N26" s="6">
        <f t="shared" si="1"/>
        <v>2667410.05</v>
      </c>
      <c r="O26" s="6">
        <f t="shared" si="2"/>
        <v>2667410.05</v>
      </c>
      <c r="P26" s="6">
        <f t="shared" si="3"/>
        <v>1893965.2000000002</v>
      </c>
      <c r="Q26" s="6">
        <f t="shared" si="4"/>
        <v>1893965.2000000002</v>
      </c>
      <c r="R26" s="6">
        <f t="shared" si="5"/>
        <v>2202796.7</v>
      </c>
      <c r="S26" s="6"/>
      <c r="T26" s="22"/>
    </row>
    <row r="27" spans="1:20" ht="15.75">
      <c r="A27" s="4" t="s">
        <v>12</v>
      </c>
      <c r="B27" s="7" t="s">
        <v>19</v>
      </c>
      <c r="C27" s="5" t="s">
        <v>32</v>
      </c>
      <c r="D27" s="6">
        <v>174797.7</v>
      </c>
      <c r="E27" s="6">
        <f t="shared" si="6"/>
        <v>3376.5999999999767</v>
      </c>
      <c r="F27" s="6">
        <v>178174.3</v>
      </c>
      <c r="G27" s="6">
        <v>54187.6</v>
      </c>
      <c r="H27" s="6">
        <f t="shared" si="7"/>
        <v>5015.800000000003</v>
      </c>
      <c r="I27" s="6">
        <v>59203.4</v>
      </c>
      <c r="J27" s="6">
        <v>60989.7</v>
      </c>
      <c r="K27" s="27"/>
      <c r="L27" s="27"/>
      <c r="M27" s="27"/>
      <c r="N27" s="6">
        <f t="shared" si="1"/>
        <v>3376.5999999999767</v>
      </c>
      <c r="O27" s="6">
        <f t="shared" si="2"/>
        <v>178174.3</v>
      </c>
      <c r="P27" s="6">
        <f t="shared" si="3"/>
        <v>5015.800000000003</v>
      </c>
      <c r="Q27" s="6">
        <f t="shared" si="4"/>
        <v>59203.4</v>
      </c>
      <c r="R27" s="6">
        <f t="shared" si="5"/>
        <v>60989.7</v>
      </c>
      <c r="S27" s="6"/>
      <c r="T27" s="22"/>
    </row>
    <row r="28" spans="1:20" s="14" customFormat="1" ht="15.75">
      <c r="A28" s="11" t="s">
        <v>33</v>
      </c>
      <c r="B28" s="11" t="s">
        <v>6</v>
      </c>
      <c r="C28" s="12" t="s">
        <v>34</v>
      </c>
      <c r="D28" s="13">
        <f aca="true" t="shared" si="10" ref="D28:S28">SUM(D29:D32)</f>
        <v>4013397.385</v>
      </c>
      <c r="E28" s="13">
        <f t="shared" si="10"/>
        <v>-2064751.8849999993</v>
      </c>
      <c r="F28" s="13">
        <f t="shared" si="10"/>
        <v>1948645.5</v>
      </c>
      <c r="G28" s="13">
        <f t="shared" si="10"/>
        <v>2998151.8</v>
      </c>
      <c r="H28" s="13">
        <f t="shared" si="10"/>
        <v>-1218047.0999999999</v>
      </c>
      <c r="I28" s="13">
        <f t="shared" si="10"/>
        <v>1780104.7</v>
      </c>
      <c r="J28" s="13">
        <f t="shared" si="10"/>
        <v>1698617.9000000001</v>
      </c>
      <c r="K28" s="26">
        <f>SUM(K29:K32)</f>
        <v>148876.5</v>
      </c>
      <c r="L28" s="26">
        <f>SUM(L29:L32)</f>
        <v>98242.00000000001</v>
      </c>
      <c r="M28" s="26">
        <f>SUM(M29:M32)</f>
        <v>11894.799999999988</v>
      </c>
      <c r="N28" s="6">
        <f t="shared" si="1"/>
        <v>-1915875.3849999998</v>
      </c>
      <c r="O28" s="6">
        <f t="shared" si="2"/>
        <v>2097522</v>
      </c>
      <c r="P28" s="6">
        <f t="shared" si="3"/>
        <v>-1119805.0999999999</v>
      </c>
      <c r="Q28" s="6">
        <f t="shared" si="4"/>
        <v>1878346.7</v>
      </c>
      <c r="R28" s="6">
        <f t="shared" si="5"/>
        <v>1710512.7000000002</v>
      </c>
      <c r="S28" s="13">
        <f t="shared" si="10"/>
        <v>0</v>
      </c>
      <c r="T28" s="22"/>
    </row>
    <row r="29" spans="1:20" ht="15.75">
      <c r="A29" s="4" t="s">
        <v>33</v>
      </c>
      <c r="B29" s="7" t="s">
        <v>5</v>
      </c>
      <c r="C29" s="5" t="s">
        <v>35</v>
      </c>
      <c r="D29" s="6">
        <v>380273.6</v>
      </c>
      <c r="E29" s="6">
        <f t="shared" si="6"/>
        <v>63708.5</v>
      </c>
      <c r="F29" s="6">
        <v>443982.1</v>
      </c>
      <c r="G29" s="6">
        <v>113582.8</v>
      </c>
      <c r="H29" s="6">
        <f t="shared" si="7"/>
        <v>163763.5</v>
      </c>
      <c r="I29" s="6">
        <v>277346.3</v>
      </c>
      <c r="J29" s="6">
        <v>248357.1</v>
      </c>
      <c r="K29" s="27"/>
      <c r="L29" s="27"/>
      <c r="M29" s="27"/>
      <c r="N29" s="6">
        <f t="shared" si="1"/>
        <v>63708.5</v>
      </c>
      <c r="O29" s="6">
        <f t="shared" si="2"/>
        <v>443982.1</v>
      </c>
      <c r="P29" s="6">
        <f t="shared" si="3"/>
        <v>163763.5</v>
      </c>
      <c r="Q29" s="6">
        <f t="shared" si="4"/>
        <v>277346.3</v>
      </c>
      <c r="R29" s="6">
        <f t="shared" si="5"/>
        <v>248357.1</v>
      </c>
      <c r="S29" s="6"/>
      <c r="T29" s="22"/>
    </row>
    <row r="30" spans="1:20" ht="15.75">
      <c r="A30" s="4" t="s">
        <v>33</v>
      </c>
      <c r="B30" s="7" t="s">
        <v>8</v>
      </c>
      <c r="C30" s="5" t="s">
        <v>36</v>
      </c>
      <c r="D30" s="6">
        <v>319007.1</v>
      </c>
      <c r="E30" s="6">
        <f t="shared" si="6"/>
        <v>147996.30000000005</v>
      </c>
      <c r="F30" s="6">
        <v>467003.4</v>
      </c>
      <c r="G30" s="6">
        <v>21779.699999999997</v>
      </c>
      <c r="H30" s="6">
        <f t="shared" si="7"/>
        <v>284593.7</v>
      </c>
      <c r="I30" s="6">
        <v>306373.4</v>
      </c>
      <c r="J30" s="6">
        <v>180153.2</v>
      </c>
      <c r="K30" s="27">
        <f>11771.9+35315+32642.3</f>
        <v>79729.2</v>
      </c>
      <c r="L30" s="27">
        <f>146139.4+37438.8+6400</f>
        <v>189978.2</v>
      </c>
      <c r="M30" s="27">
        <f>116967.4+39198.4+6400</f>
        <v>162565.8</v>
      </c>
      <c r="N30" s="6">
        <f t="shared" si="1"/>
        <v>227725.5</v>
      </c>
      <c r="O30" s="6">
        <f t="shared" si="2"/>
        <v>546732.6</v>
      </c>
      <c r="P30" s="6">
        <f t="shared" si="3"/>
        <v>474571.9</v>
      </c>
      <c r="Q30" s="6">
        <f t="shared" si="4"/>
        <v>496351.60000000003</v>
      </c>
      <c r="R30" s="6">
        <f t="shared" si="5"/>
        <v>342719</v>
      </c>
      <c r="S30" s="6"/>
      <c r="T30" s="22"/>
    </row>
    <row r="31" spans="1:20" ht="15.75">
      <c r="A31" s="4" t="s">
        <v>33</v>
      </c>
      <c r="B31" s="7" t="s">
        <v>10</v>
      </c>
      <c r="C31" s="5" t="s">
        <v>37</v>
      </c>
      <c r="D31" s="6">
        <v>3069151.885</v>
      </c>
      <c r="E31" s="6">
        <f t="shared" si="6"/>
        <v>-2317476.7849999997</v>
      </c>
      <c r="F31" s="6">
        <v>751675.1</v>
      </c>
      <c r="G31" s="6">
        <v>2613446.9</v>
      </c>
      <c r="H31" s="6">
        <f t="shared" si="7"/>
        <v>-1704242.4</v>
      </c>
      <c r="I31" s="6">
        <v>909204.5</v>
      </c>
      <c r="J31" s="6">
        <v>987310.8</v>
      </c>
      <c r="K31" s="27">
        <f>45580.6+27786.6-3813.9-406</f>
        <v>69147.3</v>
      </c>
      <c r="L31" s="27">
        <f>31276+28255-4046.5-430.7-146790</f>
        <v>-91736.2</v>
      </c>
      <c r="M31" s="27">
        <f>-4236.7-145983.3-451</f>
        <v>-150671</v>
      </c>
      <c r="N31" s="6">
        <f t="shared" si="1"/>
        <v>-2248329.485</v>
      </c>
      <c r="O31" s="6">
        <f t="shared" si="2"/>
        <v>820822.4</v>
      </c>
      <c r="P31" s="6">
        <f t="shared" si="3"/>
        <v>-1795978.5999999999</v>
      </c>
      <c r="Q31" s="6">
        <f t="shared" si="4"/>
        <v>817468.3</v>
      </c>
      <c r="R31" s="6">
        <f t="shared" si="5"/>
        <v>836639.8</v>
      </c>
      <c r="S31" s="6"/>
      <c r="T31" s="22"/>
    </row>
    <row r="32" spans="1:20" ht="15.75">
      <c r="A32" s="4" t="s">
        <v>33</v>
      </c>
      <c r="B32" s="7" t="s">
        <v>33</v>
      </c>
      <c r="C32" s="5" t="s">
        <v>38</v>
      </c>
      <c r="D32" s="6">
        <v>244964.8</v>
      </c>
      <c r="E32" s="6">
        <f t="shared" si="6"/>
        <v>41020.100000000035</v>
      </c>
      <c r="F32" s="6">
        <v>285984.9</v>
      </c>
      <c r="G32" s="6">
        <v>249342.4</v>
      </c>
      <c r="H32" s="6">
        <f t="shared" si="7"/>
        <v>37838.100000000006</v>
      </c>
      <c r="I32" s="6">
        <v>287180.5</v>
      </c>
      <c r="J32" s="6">
        <v>282796.8</v>
      </c>
      <c r="K32" s="27"/>
      <c r="L32" s="27"/>
      <c r="M32" s="27"/>
      <c r="N32" s="6">
        <f t="shared" si="1"/>
        <v>41020.100000000035</v>
      </c>
      <c r="O32" s="6">
        <f t="shared" si="2"/>
        <v>285984.9</v>
      </c>
      <c r="P32" s="6">
        <f t="shared" si="3"/>
        <v>37838.100000000006</v>
      </c>
      <c r="Q32" s="6">
        <f t="shared" si="4"/>
        <v>287180.5</v>
      </c>
      <c r="R32" s="6">
        <f t="shared" si="5"/>
        <v>282796.8</v>
      </c>
      <c r="S32" s="6"/>
      <c r="T32" s="22"/>
    </row>
    <row r="33" spans="1:20" s="14" customFormat="1" ht="15.75">
      <c r="A33" s="11" t="s">
        <v>14</v>
      </c>
      <c r="B33" s="11" t="s">
        <v>6</v>
      </c>
      <c r="C33" s="12" t="s">
        <v>39</v>
      </c>
      <c r="D33" s="13">
        <f aca="true" t="shared" si="11" ref="D33:S33">SUM(D34:D35)</f>
        <v>35264.1</v>
      </c>
      <c r="E33" s="13">
        <f t="shared" si="11"/>
        <v>7556.799999999997</v>
      </c>
      <c r="F33" s="13">
        <f t="shared" si="11"/>
        <v>42820.899999999994</v>
      </c>
      <c r="G33" s="13">
        <f t="shared" si="11"/>
        <v>36729.3</v>
      </c>
      <c r="H33" s="13">
        <f t="shared" si="11"/>
        <v>6015.5</v>
      </c>
      <c r="I33" s="13">
        <f t="shared" si="11"/>
        <v>42744.8</v>
      </c>
      <c r="J33" s="13">
        <f t="shared" si="11"/>
        <v>42502.1</v>
      </c>
      <c r="K33" s="26">
        <f>SUM(K34:K35)</f>
        <v>0</v>
      </c>
      <c r="L33" s="26">
        <f>SUM(L34:L35)</f>
        <v>0</v>
      </c>
      <c r="M33" s="26">
        <f>SUM(M34:M35)</f>
        <v>0</v>
      </c>
      <c r="N33" s="13">
        <f t="shared" si="1"/>
        <v>7556.799999999996</v>
      </c>
      <c r="O33" s="13">
        <f t="shared" si="2"/>
        <v>42820.899999999994</v>
      </c>
      <c r="P33" s="6">
        <f t="shared" si="3"/>
        <v>6015.5</v>
      </c>
      <c r="Q33" s="6">
        <f t="shared" si="4"/>
        <v>42744.8</v>
      </c>
      <c r="R33" s="6">
        <f t="shared" si="5"/>
        <v>42502.1</v>
      </c>
      <c r="S33" s="13">
        <f t="shared" si="11"/>
        <v>0</v>
      </c>
      <c r="T33" s="22"/>
    </row>
    <row r="34" spans="1:20" ht="31.5">
      <c r="A34" s="4" t="s">
        <v>14</v>
      </c>
      <c r="B34" s="7" t="s">
        <v>10</v>
      </c>
      <c r="C34" s="5" t="s">
        <v>40</v>
      </c>
      <c r="D34" s="6">
        <v>25979.5</v>
      </c>
      <c r="E34" s="6">
        <f t="shared" si="6"/>
        <v>7301.0999999999985</v>
      </c>
      <c r="F34" s="6">
        <v>33280.6</v>
      </c>
      <c r="G34" s="6">
        <v>27367.5</v>
      </c>
      <c r="H34" s="6">
        <f t="shared" si="7"/>
        <v>5764.5</v>
      </c>
      <c r="I34" s="6">
        <v>33132</v>
      </c>
      <c r="J34" s="6">
        <v>32838.1</v>
      </c>
      <c r="K34" s="27"/>
      <c r="L34" s="27"/>
      <c r="M34" s="27"/>
      <c r="N34" s="6">
        <f t="shared" si="1"/>
        <v>7301.0999999999985</v>
      </c>
      <c r="O34" s="6">
        <f t="shared" si="2"/>
        <v>33280.6</v>
      </c>
      <c r="P34" s="6">
        <f t="shared" si="3"/>
        <v>5764.5</v>
      </c>
      <c r="Q34" s="6">
        <f t="shared" si="4"/>
        <v>33132</v>
      </c>
      <c r="R34" s="6">
        <f t="shared" si="5"/>
        <v>32838.1</v>
      </c>
      <c r="S34" s="6"/>
      <c r="T34" s="22"/>
    </row>
    <row r="35" spans="1:20" ht="15.75">
      <c r="A35" s="4" t="s">
        <v>14</v>
      </c>
      <c r="B35" s="7" t="s">
        <v>33</v>
      </c>
      <c r="C35" s="5" t="s">
        <v>41</v>
      </c>
      <c r="D35" s="6">
        <v>9284.6</v>
      </c>
      <c r="E35" s="6">
        <f t="shared" si="6"/>
        <v>255.6999999999989</v>
      </c>
      <c r="F35" s="6">
        <v>9540.3</v>
      </c>
      <c r="G35" s="6">
        <v>9361.8</v>
      </c>
      <c r="H35" s="6">
        <f t="shared" si="7"/>
        <v>251</v>
      </c>
      <c r="I35" s="6">
        <v>9612.8</v>
      </c>
      <c r="J35" s="6">
        <v>9664</v>
      </c>
      <c r="K35" s="27"/>
      <c r="L35" s="27"/>
      <c r="M35" s="27"/>
      <c r="N35" s="6">
        <f t="shared" si="1"/>
        <v>255.6999999999989</v>
      </c>
      <c r="O35" s="6">
        <f t="shared" si="2"/>
        <v>9540.3</v>
      </c>
      <c r="P35" s="6">
        <f t="shared" si="3"/>
        <v>251</v>
      </c>
      <c r="Q35" s="6">
        <f t="shared" si="4"/>
        <v>9612.8</v>
      </c>
      <c r="R35" s="6">
        <f t="shared" si="5"/>
        <v>9664</v>
      </c>
      <c r="S35" s="6"/>
      <c r="T35" s="22"/>
    </row>
    <row r="36" spans="1:20" s="14" customFormat="1" ht="15.75">
      <c r="A36" s="11" t="s">
        <v>16</v>
      </c>
      <c r="B36" s="11" t="s">
        <v>6</v>
      </c>
      <c r="C36" s="17" t="s">
        <v>42</v>
      </c>
      <c r="D36" s="13">
        <f aca="true" t="shared" si="12" ref="D36:S36">SUM(D37:D40)</f>
        <v>7540180.256999999</v>
      </c>
      <c r="E36" s="13">
        <f t="shared" si="12"/>
        <v>885250.2429999989</v>
      </c>
      <c r="F36" s="13">
        <f t="shared" si="12"/>
        <v>8425430.5</v>
      </c>
      <c r="G36" s="13">
        <f t="shared" si="12"/>
        <v>7077718.700000001</v>
      </c>
      <c r="H36" s="13">
        <f t="shared" si="12"/>
        <v>1051220.9999999981</v>
      </c>
      <c r="I36" s="13">
        <f t="shared" si="12"/>
        <v>8128939.7</v>
      </c>
      <c r="J36" s="13">
        <f t="shared" si="12"/>
        <v>8151019.6</v>
      </c>
      <c r="K36" s="26">
        <f>SUM(K37:K40)</f>
        <v>-140507.94999999998</v>
      </c>
      <c r="L36" s="26">
        <f>SUM(L37:L40)</f>
        <v>35176.6</v>
      </c>
      <c r="M36" s="26">
        <f>SUM(M37:M40)</f>
        <v>-5779.800000000003</v>
      </c>
      <c r="N36" s="13">
        <f t="shared" si="1"/>
        <v>744742.2930000005</v>
      </c>
      <c r="O36" s="13">
        <f t="shared" si="2"/>
        <v>8284922.55</v>
      </c>
      <c r="P36" s="6">
        <f t="shared" si="3"/>
        <v>1086397.5999999987</v>
      </c>
      <c r="Q36" s="6">
        <f t="shared" si="4"/>
        <v>8164116.3</v>
      </c>
      <c r="R36" s="6">
        <f t="shared" si="5"/>
        <v>8145239.8</v>
      </c>
      <c r="S36" s="13">
        <f t="shared" si="12"/>
        <v>0</v>
      </c>
      <c r="T36" s="22"/>
    </row>
    <row r="37" spans="1:20" ht="15.75">
      <c r="A37" s="4" t="s">
        <v>16</v>
      </c>
      <c r="B37" s="7" t="s">
        <v>5</v>
      </c>
      <c r="C37" s="5" t="s">
        <v>43</v>
      </c>
      <c r="D37" s="6">
        <v>2526546.685</v>
      </c>
      <c r="E37" s="6">
        <f t="shared" si="6"/>
        <v>350644.11499999976</v>
      </c>
      <c r="F37" s="6">
        <v>2877190.8</v>
      </c>
      <c r="G37" s="6">
        <v>2353538.177</v>
      </c>
      <c r="H37" s="6">
        <f t="shared" si="7"/>
        <v>247926.22299999977</v>
      </c>
      <c r="I37" s="6">
        <v>2601464.4</v>
      </c>
      <c r="J37" s="6">
        <v>2675599.2</v>
      </c>
      <c r="K37" s="27">
        <f>-20.5-36.2+7583.5-11907.4+605.9-45605.9-605.9-15202-24572.95</f>
        <v>-89761.45</v>
      </c>
      <c r="L37" s="27">
        <f>52.6+90.6+8046.1-12633.7</f>
        <v>-4444.400000000001</v>
      </c>
      <c r="M37" s="27">
        <f>112.4+194.1+8424.3-13227.5</f>
        <v>-4496.700000000001</v>
      </c>
      <c r="N37" s="6">
        <f t="shared" si="1"/>
        <v>260882.66499999957</v>
      </c>
      <c r="O37" s="6">
        <f t="shared" si="2"/>
        <v>2787429.3499999996</v>
      </c>
      <c r="P37" s="6">
        <f t="shared" si="3"/>
        <v>243481.82299999986</v>
      </c>
      <c r="Q37" s="6">
        <f t="shared" si="4"/>
        <v>2597020</v>
      </c>
      <c r="R37" s="6">
        <f t="shared" si="5"/>
        <v>2671102.5</v>
      </c>
      <c r="S37" s="6"/>
      <c r="T37" s="22"/>
    </row>
    <row r="38" spans="1:20" ht="15.75">
      <c r="A38" s="4" t="s">
        <v>16</v>
      </c>
      <c r="B38" s="7" t="s">
        <v>8</v>
      </c>
      <c r="C38" s="5" t="s">
        <v>44</v>
      </c>
      <c r="D38" s="6">
        <v>4619199.883</v>
      </c>
      <c r="E38" s="6">
        <f t="shared" si="6"/>
        <v>566193.2169999992</v>
      </c>
      <c r="F38" s="6">
        <v>5185393.1</v>
      </c>
      <c r="G38" s="6">
        <v>4320082.203000002</v>
      </c>
      <c r="H38" s="6">
        <f t="shared" si="7"/>
        <v>841483.7969999984</v>
      </c>
      <c r="I38" s="6">
        <v>5161566</v>
      </c>
      <c r="J38" s="6">
        <v>5080762.1</v>
      </c>
      <c r="K38" s="27">
        <f>4000+126.3-3807.9-30000-6660-38340-1412.7-12779.4+1331.5+38973.5</f>
        <v>-48568.7</v>
      </c>
      <c r="L38" s="27">
        <f>126.3+1412.7+40259.8</f>
        <v>41798.8</v>
      </c>
      <c r="M38" s="27">
        <f>126.3+1479.1+42152</f>
        <v>43757.4</v>
      </c>
      <c r="N38" s="6">
        <f t="shared" si="1"/>
        <v>517624.51699999906</v>
      </c>
      <c r="O38" s="6">
        <f t="shared" si="2"/>
        <v>5136824.399999999</v>
      </c>
      <c r="P38" s="6">
        <f t="shared" si="3"/>
        <v>883282.5969999982</v>
      </c>
      <c r="Q38" s="6">
        <f t="shared" si="4"/>
        <v>5203364.8</v>
      </c>
      <c r="R38" s="6">
        <f t="shared" si="5"/>
        <v>5124519.5</v>
      </c>
      <c r="S38" s="6"/>
      <c r="T38" s="22"/>
    </row>
    <row r="39" spans="1:20" ht="15.75">
      <c r="A39" s="4" t="s">
        <v>16</v>
      </c>
      <c r="B39" s="7" t="s">
        <v>16</v>
      </c>
      <c r="C39" s="5" t="s">
        <v>45</v>
      </c>
      <c r="D39" s="6">
        <v>198031.10000000003</v>
      </c>
      <c r="E39" s="6">
        <f t="shared" si="6"/>
        <v>-5880.100000000035</v>
      </c>
      <c r="F39" s="6">
        <v>192151</v>
      </c>
      <c r="G39" s="6">
        <v>200525.6</v>
      </c>
      <c r="H39" s="6">
        <f t="shared" si="7"/>
        <v>-3843.100000000006</v>
      </c>
      <c r="I39" s="6">
        <v>196682.5</v>
      </c>
      <c r="J39" s="6">
        <v>200427.7</v>
      </c>
      <c r="K39" s="27"/>
      <c r="L39" s="27"/>
      <c r="M39" s="27"/>
      <c r="N39" s="6">
        <f t="shared" si="1"/>
        <v>-5880.100000000035</v>
      </c>
      <c r="O39" s="6">
        <f t="shared" si="2"/>
        <v>192151</v>
      </c>
      <c r="P39" s="6">
        <f t="shared" si="3"/>
        <v>-3843.100000000006</v>
      </c>
      <c r="Q39" s="6">
        <f t="shared" si="4"/>
        <v>196682.5</v>
      </c>
      <c r="R39" s="6">
        <f t="shared" si="5"/>
        <v>200427.7</v>
      </c>
      <c r="S39" s="6"/>
      <c r="T39" s="22"/>
    </row>
    <row r="40" spans="1:20" ht="15.75">
      <c r="A40" s="4" t="s">
        <v>16</v>
      </c>
      <c r="B40" s="7" t="s">
        <v>25</v>
      </c>
      <c r="C40" s="5" t="s">
        <v>46</v>
      </c>
      <c r="D40" s="6">
        <v>196402.589</v>
      </c>
      <c r="E40" s="6">
        <f t="shared" si="6"/>
        <v>-25706.989</v>
      </c>
      <c r="F40" s="6">
        <v>170695.6</v>
      </c>
      <c r="G40" s="6">
        <v>203572.72</v>
      </c>
      <c r="H40" s="6">
        <f t="shared" si="7"/>
        <v>-34345.92000000001</v>
      </c>
      <c r="I40" s="6">
        <v>169226.8</v>
      </c>
      <c r="J40" s="6">
        <v>194230.6</v>
      </c>
      <c r="K40" s="27">
        <f>-2177.8</f>
        <v>-2177.8</v>
      </c>
      <c r="L40" s="27">
        <f>-2177.8</f>
        <v>-2177.8</v>
      </c>
      <c r="M40" s="27">
        <f>-42862-2178.5</f>
        <v>-45040.5</v>
      </c>
      <c r="N40" s="6">
        <f t="shared" si="1"/>
        <v>-27884.78899999999</v>
      </c>
      <c r="O40" s="6">
        <f t="shared" si="2"/>
        <v>168517.80000000002</v>
      </c>
      <c r="P40" s="6">
        <f t="shared" si="3"/>
        <v>-36523.72</v>
      </c>
      <c r="Q40" s="6">
        <f t="shared" si="4"/>
        <v>167049</v>
      </c>
      <c r="R40" s="6">
        <f t="shared" si="5"/>
        <v>149190.1</v>
      </c>
      <c r="S40" s="6"/>
      <c r="T40" s="22"/>
    </row>
    <row r="41" spans="1:20" s="14" customFormat="1" ht="15.75">
      <c r="A41" s="11" t="s">
        <v>30</v>
      </c>
      <c r="B41" s="11" t="s">
        <v>6</v>
      </c>
      <c r="C41" s="12" t="s">
        <v>74</v>
      </c>
      <c r="D41" s="13">
        <f aca="true" t="shared" si="13" ref="D41:S41">SUM(D42:D43)</f>
        <v>511403.9</v>
      </c>
      <c r="E41" s="13">
        <f t="shared" si="13"/>
        <v>1514.099999999953</v>
      </c>
      <c r="F41" s="13">
        <f t="shared" si="13"/>
        <v>512918</v>
      </c>
      <c r="G41" s="13">
        <f t="shared" si="13"/>
        <v>405233.80000000005</v>
      </c>
      <c r="H41" s="13">
        <f t="shared" si="13"/>
        <v>85340.89999999995</v>
      </c>
      <c r="I41" s="13">
        <f t="shared" si="13"/>
        <v>490574.7</v>
      </c>
      <c r="J41" s="13">
        <f t="shared" si="13"/>
        <v>428456.7</v>
      </c>
      <c r="K41" s="26">
        <f>SUM(K42:K43)</f>
        <v>151008.8</v>
      </c>
      <c r="L41" s="26">
        <f>SUM(L42:L43)</f>
        <v>11078.7</v>
      </c>
      <c r="M41" s="26">
        <f>SUM(M42:M43)</f>
        <v>11078.7</v>
      </c>
      <c r="N41" s="13">
        <f t="shared" si="1"/>
        <v>152522.90000000002</v>
      </c>
      <c r="O41" s="13">
        <f t="shared" si="2"/>
        <v>663926.8</v>
      </c>
      <c r="P41" s="6">
        <f t="shared" si="3"/>
        <v>96419.59999999998</v>
      </c>
      <c r="Q41" s="6">
        <f t="shared" si="4"/>
        <v>501653.4</v>
      </c>
      <c r="R41" s="6">
        <f t="shared" si="5"/>
        <v>439535.4</v>
      </c>
      <c r="S41" s="13">
        <f t="shared" si="13"/>
        <v>0</v>
      </c>
      <c r="T41" s="22"/>
    </row>
    <row r="42" spans="1:20" ht="15.75">
      <c r="A42" s="4" t="s">
        <v>30</v>
      </c>
      <c r="B42" s="7" t="s">
        <v>5</v>
      </c>
      <c r="C42" s="5" t="s">
        <v>47</v>
      </c>
      <c r="D42" s="6">
        <v>500683.9</v>
      </c>
      <c r="E42" s="6">
        <f t="shared" si="6"/>
        <v>1429.6999999999534</v>
      </c>
      <c r="F42" s="6">
        <v>502113.6</v>
      </c>
      <c r="G42" s="6">
        <v>394433.10000000003</v>
      </c>
      <c r="H42" s="6">
        <f t="shared" si="7"/>
        <v>85260.69999999995</v>
      </c>
      <c r="I42" s="6">
        <v>479693.8</v>
      </c>
      <c r="J42" s="6">
        <v>417524.7</v>
      </c>
      <c r="K42" s="27">
        <f>2725.1+11915.3+136368.4</f>
        <v>151008.8</v>
      </c>
      <c r="L42" s="27">
        <f>2725.1+8353.6</f>
        <v>11078.7</v>
      </c>
      <c r="M42" s="27">
        <f>2725.1+8353.6</f>
        <v>11078.7</v>
      </c>
      <c r="N42" s="6">
        <f t="shared" si="1"/>
        <v>152438.49999999988</v>
      </c>
      <c r="O42" s="6">
        <f t="shared" si="2"/>
        <v>653122.3999999999</v>
      </c>
      <c r="P42" s="6">
        <f t="shared" si="3"/>
        <v>96339.39999999997</v>
      </c>
      <c r="Q42" s="6">
        <f t="shared" si="4"/>
        <v>490772.5</v>
      </c>
      <c r="R42" s="6">
        <f t="shared" si="5"/>
        <v>428603.4</v>
      </c>
      <c r="S42" s="6"/>
      <c r="T42" s="22"/>
    </row>
    <row r="43" spans="1:20" ht="15.75">
      <c r="A43" s="4" t="s">
        <v>30</v>
      </c>
      <c r="B43" s="7" t="s">
        <v>12</v>
      </c>
      <c r="C43" s="5" t="s">
        <v>70</v>
      </c>
      <c r="D43" s="6">
        <v>10720</v>
      </c>
      <c r="E43" s="6">
        <f t="shared" si="6"/>
        <v>84.39999999999964</v>
      </c>
      <c r="F43" s="6">
        <v>10804.4</v>
      </c>
      <c r="G43" s="6">
        <v>10800.7</v>
      </c>
      <c r="H43" s="6">
        <f t="shared" si="7"/>
        <v>80.19999999999891</v>
      </c>
      <c r="I43" s="6">
        <v>10880.9</v>
      </c>
      <c r="J43" s="6">
        <v>10932</v>
      </c>
      <c r="K43" s="27"/>
      <c r="L43" s="27"/>
      <c r="M43" s="27"/>
      <c r="N43" s="6">
        <f t="shared" si="1"/>
        <v>84.39999999999964</v>
      </c>
      <c r="O43" s="6">
        <f t="shared" si="2"/>
        <v>10804.4</v>
      </c>
      <c r="P43" s="6">
        <f t="shared" si="3"/>
        <v>80.19999999999891</v>
      </c>
      <c r="Q43" s="6">
        <f t="shared" si="4"/>
        <v>10880.9</v>
      </c>
      <c r="R43" s="6">
        <f t="shared" si="5"/>
        <v>10932</v>
      </c>
      <c r="S43" s="6"/>
      <c r="T43" s="22"/>
    </row>
    <row r="44" spans="1:20" s="14" customFormat="1" ht="15.75">
      <c r="A44" s="11" t="s">
        <v>25</v>
      </c>
      <c r="B44" s="11" t="s">
        <v>6</v>
      </c>
      <c r="C44" s="12" t="s">
        <v>73</v>
      </c>
      <c r="D44" s="13">
        <f aca="true" t="shared" si="14" ref="D44:S44">SUM(D45:D50)</f>
        <v>3105803.7469999995</v>
      </c>
      <c r="E44" s="13">
        <f t="shared" si="14"/>
        <v>-1810332.146999999</v>
      </c>
      <c r="F44" s="13">
        <f t="shared" si="14"/>
        <v>1295471.6</v>
      </c>
      <c r="G44" s="13">
        <f t="shared" si="14"/>
        <v>2710094.6</v>
      </c>
      <c r="H44" s="13">
        <f t="shared" si="14"/>
        <v>-1555436.9999999998</v>
      </c>
      <c r="I44" s="13">
        <f t="shared" si="14"/>
        <v>1154657.6</v>
      </c>
      <c r="J44" s="13">
        <f t="shared" si="14"/>
        <v>1176419.3</v>
      </c>
      <c r="K44" s="26">
        <f>SUM(K45:K50)</f>
        <v>39305.7</v>
      </c>
      <c r="L44" s="26">
        <f>SUM(L45:L50)</f>
        <v>0</v>
      </c>
      <c r="M44" s="26">
        <f>SUM(M45:M50)</f>
        <v>0</v>
      </c>
      <c r="N44" s="13">
        <f t="shared" si="1"/>
        <v>-1771026.4469999995</v>
      </c>
      <c r="O44" s="13">
        <f t="shared" si="2"/>
        <v>1334777.3</v>
      </c>
      <c r="P44" s="6">
        <f t="shared" si="3"/>
        <v>-1555437</v>
      </c>
      <c r="Q44" s="6">
        <f t="shared" si="4"/>
        <v>1154657.6</v>
      </c>
      <c r="R44" s="6">
        <f t="shared" si="5"/>
        <v>1176419.3</v>
      </c>
      <c r="S44" s="13">
        <f t="shared" si="14"/>
        <v>0</v>
      </c>
      <c r="T44" s="22"/>
    </row>
    <row r="45" spans="1:20" ht="15.75">
      <c r="A45" s="4" t="s">
        <v>25</v>
      </c>
      <c r="B45" s="7" t="s">
        <v>5</v>
      </c>
      <c r="C45" s="5" t="s">
        <v>48</v>
      </c>
      <c r="D45" s="6">
        <v>1591540.7089999998</v>
      </c>
      <c r="E45" s="6">
        <f t="shared" si="6"/>
        <v>-1527754.9089999998</v>
      </c>
      <c r="F45" s="6">
        <v>63785.8</v>
      </c>
      <c r="G45" s="6">
        <v>1313497.248</v>
      </c>
      <c r="H45" s="6">
        <f t="shared" si="7"/>
        <v>-1313497.248</v>
      </c>
      <c r="I45" s="6">
        <v>0</v>
      </c>
      <c r="J45" s="6">
        <v>0</v>
      </c>
      <c r="K45" s="27"/>
      <c r="L45" s="27"/>
      <c r="M45" s="27"/>
      <c r="N45" s="6">
        <f t="shared" si="1"/>
        <v>-1527754.9089999998</v>
      </c>
      <c r="O45" s="6">
        <f t="shared" si="2"/>
        <v>63785.8</v>
      </c>
      <c r="P45" s="6">
        <f t="shared" si="3"/>
        <v>-1313497.248</v>
      </c>
      <c r="Q45" s="6">
        <f t="shared" si="4"/>
        <v>0</v>
      </c>
      <c r="R45" s="6">
        <f t="shared" si="5"/>
        <v>0</v>
      </c>
      <c r="S45" s="6"/>
      <c r="T45" s="22"/>
    </row>
    <row r="46" spans="1:20" ht="15.75">
      <c r="A46" s="4" t="s">
        <v>25</v>
      </c>
      <c r="B46" s="7" t="s">
        <v>8</v>
      </c>
      <c r="C46" s="5" t="s">
        <v>49</v>
      </c>
      <c r="D46" s="6">
        <v>677233.938</v>
      </c>
      <c r="E46" s="6">
        <f t="shared" si="6"/>
        <v>-677233.938</v>
      </c>
      <c r="F46" s="6">
        <v>0</v>
      </c>
      <c r="G46" s="6">
        <v>628674.152</v>
      </c>
      <c r="H46" s="6">
        <f t="shared" si="7"/>
        <v>-628674.152</v>
      </c>
      <c r="I46" s="6">
        <v>0</v>
      </c>
      <c r="J46" s="6">
        <v>0</v>
      </c>
      <c r="K46" s="27">
        <f>10305.7+29000</f>
        <v>39305.7</v>
      </c>
      <c r="L46" s="27"/>
      <c r="M46" s="27"/>
      <c r="N46" s="6">
        <f t="shared" si="1"/>
        <v>-637928.238</v>
      </c>
      <c r="O46" s="6">
        <f t="shared" si="2"/>
        <v>39305.7</v>
      </c>
      <c r="P46" s="6">
        <f t="shared" si="3"/>
        <v>-628674.152</v>
      </c>
      <c r="Q46" s="6">
        <f t="shared" si="4"/>
        <v>0</v>
      </c>
      <c r="R46" s="6">
        <f t="shared" si="5"/>
        <v>0</v>
      </c>
      <c r="S46" s="6"/>
      <c r="T46" s="22"/>
    </row>
    <row r="47" spans="1:20" ht="15.75">
      <c r="A47" s="4" t="s">
        <v>25</v>
      </c>
      <c r="B47" s="7" t="s">
        <v>12</v>
      </c>
      <c r="C47" s="5" t="s">
        <v>50</v>
      </c>
      <c r="D47" s="6">
        <v>637699.6</v>
      </c>
      <c r="E47" s="6">
        <f t="shared" si="6"/>
        <v>-558279.7999999999</v>
      </c>
      <c r="F47" s="6">
        <v>79419.8</v>
      </c>
      <c r="G47" s="6">
        <v>564432.6</v>
      </c>
      <c r="H47" s="6">
        <f t="shared" si="7"/>
        <v>-564432.6</v>
      </c>
      <c r="I47" s="6">
        <v>0</v>
      </c>
      <c r="J47" s="6">
        <v>0</v>
      </c>
      <c r="K47" s="27"/>
      <c r="L47" s="27"/>
      <c r="M47" s="27"/>
      <c r="N47" s="6">
        <f t="shared" si="1"/>
        <v>-558279.7999999999</v>
      </c>
      <c r="O47" s="6">
        <f t="shared" si="2"/>
        <v>79419.8</v>
      </c>
      <c r="P47" s="6">
        <f t="shared" si="3"/>
        <v>-564432.6</v>
      </c>
      <c r="Q47" s="6">
        <f t="shared" si="4"/>
        <v>0</v>
      </c>
      <c r="R47" s="6">
        <f t="shared" si="5"/>
        <v>0</v>
      </c>
      <c r="S47" s="6"/>
      <c r="T47" s="22"/>
    </row>
    <row r="48" spans="1:20" ht="15.75">
      <c r="A48" s="4" t="s">
        <v>25</v>
      </c>
      <c r="B48" s="7" t="s">
        <v>33</v>
      </c>
      <c r="C48" s="5" t="s">
        <v>51</v>
      </c>
      <c r="D48" s="6">
        <v>115081.3</v>
      </c>
      <c r="E48" s="6">
        <f t="shared" si="6"/>
        <v>-115081.3</v>
      </c>
      <c r="F48" s="6">
        <v>0</v>
      </c>
      <c r="G48" s="6">
        <v>117641.1</v>
      </c>
      <c r="H48" s="6">
        <f t="shared" si="7"/>
        <v>-117641.1</v>
      </c>
      <c r="I48" s="6">
        <v>0</v>
      </c>
      <c r="J48" s="6">
        <v>0</v>
      </c>
      <c r="K48" s="27"/>
      <c r="L48" s="27"/>
      <c r="M48" s="27"/>
      <c r="N48" s="6">
        <f t="shared" si="1"/>
        <v>-115081.3</v>
      </c>
      <c r="O48" s="6">
        <f t="shared" si="2"/>
        <v>0</v>
      </c>
      <c r="P48" s="6">
        <f t="shared" si="3"/>
        <v>-117641.1</v>
      </c>
      <c r="Q48" s="6">
        <f t="shared" si="4"/>
        <v>0</v>
      </c>
      <c r="R48" s="6">
        <f t="shared" si="5"/>
        <v>0</v>
      </c>
      <c r="S48" s="6"/>
      <c r="T48" s="22"/>
    </row>
    <row r="49" spans="1:20" ht="31.5">
      <c r="A49" s="7" t="s">
        <v>25</v>
      </c>
      <c r="B49" s="7" t="s">
        <v>14</v>
      </c>
      <c r="C49" s="5" t="s">
        <v>52</v>
      </c>
      <c r="D49" s="6">
        <v>17045.3</v>
      </c>
      <c r="E49" s="6">
        <f t="shared" si="6"/>
        <v>-17045.3</v>
      </c>
      <c r="F49" s="6">
        <v>0</v>
      </c>
      <c r="G49" s="6">
        <v>17045.3</v>
      </c>
      <c r="H49" s="6">
        <f t="shared" si="7"/>
        <v>-17045.3</v>
      </c>
      <c r="I49" s="6">
        <v>0</v>
      </c>
      <c r="J49" s="6">
        <v>0</v>
      </c>
      <c r="K49" s="27"/>
      <c r="L49" s="27"/>
      <c r="M49" s="27"/>
      <c r="N49" s="6">
        <f t="shared" si="1"/>
        <v>-17045.3</v>
      </c>
      <c r="O49" s="6">
        <f t="shared" si="2"/>
        <v>0</v>
      </c>
      <c r="P49" s="6">
        <f t="shared" si="3"/>
        <v>-17045.3</v>
      </c>
      <c r="Q49" s="6">
        <f t="shared" si="4"/>
        <v>0</v>
      </c>
      <c r="R49" s="6">
        <f t="shared" si="5"/>
        <v>0</v>
      </c>
      <c r="S49" s="6"/>
      <c r="T49" s="22"/>
    </row>
    <row r="50" spans="1:20" ht="15.75">
      <c r="A50" s="4" t="s">
        <v>25</v>
      </c>
      <c r="B50" s="7" t="s">
        <v>25</v>
      </c>
      <c r="C50" s="5" t="s">
        <v>71</v>
      </c>
      <c r="D50" s="6">
        <v>67202.9</v>
      </c>
      <c r="E50" s="6">
        <f t="shared" si="6"/>
        <v>1085063.1</v>
      </c>
      <c r="F50" s="6">
        <v>1152266</v>
      </c>
      <c r="G50" s="6">
        <v>68804.2</v>
      </c>
      <c r="H50" s="6">
        <f t="shared" si="7"/>
        <v>1085853.4000000001</v>
      </c>
      <c r="I50" s="6">
        <v>1154657.6</v>
      </c>
      <c r="J50" s="6">
        <v>1176419.3</v>
      </c>
      <c r="K50" s="27"/>
      <c r="L50" s="27"/>
      <c r="M50" s="27"/>
      <c r="N50" s="6">
        <f t="shared" si="1"/>
        <v>1085063.1</v>
      </c>
      <c r="O50" s="6">
        <f t="shared" si="2"/>
        <v>1152266</v>
      </c>
      <c r="P50" s="6">
        <f t="shared" si="3"/>
        <v>1085853.4000000001</v>
      </c>
      <c r="Q50" s="6">
        <f t="shared" si="4"/>
        <v>1154657.6</v>
      </c>
      <c r="R50" s="6">
        <f t="shared" si="5"/>
        <v>1176419.3</v>
      </c>
      <c r="S50" s="6"/>
      <c r="T50" s="22"/>
    </row>
    <row r="51" spans="1:20" s="14" customFormat="1" ht="15.75">
      <c r="A51" s="11" t="s">
        <v>54</v>
      </c>
      <c r="B51" s="11" t="s">
        <v>6</v>
      </c>
      <c r="C51" s="12" t="s">
        <v>55</v>
      </c>
      <c r="D51" s="13">
        <f aca="true" t="shared" si="15" ref="D51:S51">SUM(D52:D55)</f>
        <v>1155587.811</v>
      </c>
      <c r="E51" s="13">
        <f t="shared" si="15"/>
        <v>430481.5390000001</v>
      </c>
      <c r="F51" s="13">
        <f t="shared" si="15"/>
        <v>1586069.35</v>
      </c>
      <c r="G51" s="13">
        <f t="shared" si="15"/>
        <v>1155033.1</v>
      </c>
      <c r="H51" s="13">
        <f t="shared" si="15"/>
        <v>261629.89999999994</v>
      </c>
      <c r="I51" s="13">
        <f t="shared" si="15"/>
        <v>1416663</v>
      </c>
      <c r="J51" s="13">
        <f t="shared" si="15"/>
        <v>1457496.4</v>
      </c>
      <c r="K51" s="26">
        <f>SUM(K52:K55)</f>
        <v>-14014.099999999991</v>
      </c>
      <c r="L51" s="26">
        <f>SUM(L52:L55)</f>
        <v>-13958.699999999997</v>
      </c>
      <c r="M51" s="26">
        <f>SUM(M52:M55)</f>
        <v>-13958</v>
      </c>
      <c r="N51" s="13">
        <f t="shared" si="1"/>
        <v>416467.439</v>
      </c>
      <c r="O51" s="13">
        <f t="shared" si="2"/>
        <v>1572055.25</v>
      </c>
      <c r="P51" s="6">
        <f t="shared" si="3"/>
        <v>247671.19999999995</v>
      </c>
      <c r="Q51" s="6">
        <f t="shared" si="4"/>
        <v>1402704.3</v>
      </c>
      <c r="R51" s="6">
        <f t="shared" si="5"/>
        <v>1443538.4</v>
      </c>
      <c r="S51" s="13">
        <f t="shared" si="15"/>
        <v>0</v>
      </c>
      <c r="T51" s="22"/>
    </row>
    <row r="52" spans="1:20" ht="15.75">
      <c r="A52" s="4" t="s">
        <v>54</v>
      </c>
      <c r="B52" s="7" t="s">
        <v>5</v>
      </c>
      <c r="C52" s="5" t="s">
        <v>56</v>
      </c>
      <c r="D52" s="6">
        <v>35359.9</v>
      </c>
      <c r="E52" s="6">
        <f t="shared" si="6"/>
        <v>-1511.5999999999985</v>
      </c>
      <c r="F52" s="6">
        <v>33848.3</v>
      </c>
      <c r="G52" s="6">
        <v>36910.3</v>
      </c>
      <c r="H52" s="6">
        <f t="shared" si="7"/>
        <v>-2198.2000000000044</v>
      </c>
      <c r="I52" s="6">
        <v>34712.1</v>
      </c>
      <c r="J52" s="6">
        <v>35576.4</v>
      </c>
      <c r="K52" s="27"/>
      <c r="L52" s="27"/>
      <c r="M52" s="27"/>
      <c r="N52" s="6">
        <f t="shared" si="1"/>
        <v>-1511.5999999999985</v>
      </c>
      <c r="O52" s="6">
        <f t="shared" si="2"/>
        <v>33848.3</v>
      </c>
      <c r="P52" s="6">
        <f t="shared" si="3"/>
        <v>-2198.2000000000044</v>
      </c>
      <c r="Q52" s="6">
        <f t="shared" si="4"/>
        <v>34712.1</v>
      </c>
      <c r="R52" s="6">
        <f t="shared" si="5"/>
        <v>35576.4</v>
      </c>
      <c r="S52" s="6"/>
      <c r="T52" s="22"/>
    </row>
    <row r="53" spans="1:20" ht="15.75">
      <c r="A53" s="4" t="s">
        <v>54</v>
      </c>
      <c r="B53" s="7" t="s">
        <v>10</v>
      </c>
      <c r="C53" s="5" t="s">
        <v>57</v>
      </c>
      <c r="D53" s="6">
        <v>803816.411</v>
      </c>
      <c r="E53" s="6">
        <f t="shared" si="6"/>
        <v>575458.6390000001</v>
      </c>
      <c r="F53" s="6">
        <v>1379275.05</v>
      </c>
      <c r="G53" s="6">
        <v>796619.4</v>
      </c>
      <c r="H53" s="6">
        <f t="shared" si="7"/>
        <v>409987.6</v>
      </c>
      <c r="I53" s="6">
        <v>1206607</v>
      </c>
      <c r="J53" s="6">
        <v>1244971.8</v>
      </c>
      <c r="K53" s="27">
        <f>-80753.3-55.4</f>
        <v>-80808.7</v>
      </c>
      <c r="L53" s="27">
        <f>-80753.3</f>
        <v>-80753.3</v>
      </c>
      <c r="M53" s="27">
        <f>-80818.1</f>
        <v>-80818.1</v>
      </c>
      <c r="N53" s="6">
        <f t="shared" si="1"/>
        <v>494649.93900000013</v>
      </c>
      <c r="O53" s="6">
        <f t="shared" si="2"/>
        <v>1298466.35</v>
      </c>
      <c r="P53" s="6">
        <f t="shared" si="3"/>
        <v>329234.29999999993</v>
      </c>
      <c r="Q53" s="6">
        <f t="shared" si="4"/>
        <v>1125853.7</v>
      </c>
      <c r="R53" s="6">
        <f t="shared" si="5"/>
        <v>1164153.7</v>
      </c>
      <c r="S53" s="6"/>
      <c r="T53" s="22"/>
    </row>
    <row r="54" spans="1:20" ht="15.75">
      <c r="A54" s="4" t="s">
        <v>54</v>
      </c>
      <c r="B54" s="4" t="s">
        <v>12</v>
      </c>
      <c r="C54" s="5" t="s">
        <v>58</v>
      </c>
      <c r="D54" s="6">
        <v>113990.4</v>
      </c>
      <c r="E54" s="6">
        <f t="shared" si="6"/>
        <v>-113990.4</v>
      </c>
      <c r="F54" s="6">
        <v>0</v>
      </c>
      <c r="G54" s="6">
        <v>115835</v>
      </c>
      <c r="H54" s="6">
        <f t="shared" si="7"/>
        <v>-115835</v>
      </c>
      <c r="I54" s="6">
        <v>0</v>
      </c>
      <c r="J54" s="6">
        <v>0</v>
      </c>
      <c r="K54" s="27">
        <f>80753.3+2177.8</f>
        <v>82931.1</v>
      </c>
      <c r="L54" s="27">
        <f>80753.3+2177.8</f>
        <v>82931.1</v>
      </c>
      <c r="M54" s="27">
        <f>80818.1+2178.5</f>
        <v>82996.6</v>
      </c>
      <c r="N54" s="6">
        <f t="shared" si="1"/>
        <v>-31059.29999999999</v>
      </c>
      <c r="O54" s="6">
        <f t="shared" si="2"/>
        <v>82931.1</v>
      </c>
      <c r="P54" s="6">
        <f t="shared" si="3"/>
        <v>-32903.899999999994</v>
      </c>
      <c r="Q54" s="6">
        <f t="shared" si="4"/>
        <v>82931.1</v>
      </c>
      <c r="R54" s="6">
        <f t="shared" si="5"/>
        <v>82996.6</v>
      </c>
      <c r="S54" s="6"/>
      <c r="T54" s="22"/>
    </row>
    <row r="55" spans="1:20" ht="15.75">
      <c r="A55" s="4" t="s">
        <v>54</v>
      </c>
      <c r="B55" s="7" t="s">
        <v>14</v>
      </c>
      <c r="C55" s="5" t="s">
        <v>59</v>
      </c>
      <c r="D55" s="6">
        <v>202421.1</v>
      </c>
      <c r="E55" s="6">
        <f t="shared" si="6"/>
        <v>-29475.100000000006</v>
      </c>
      <c r="F55" s="6">
        <v>172946</v>
      </c>
      <c r="G55" s="6">
        <v>205668.40000000002</v>
      </c>
      <c r="H55" s="6">
        <f t="shared" si="7"/>
        <v>-30324.50000000003</v>
      </c>
      <c r="I55" s="6">
        <v>175343.9</v>
      </c>
      <c r="J55" s="6">
        <v>176948.2</v>
      </c>
      <c r="K55" s="27">
        <f>-136.5-16000</f>
        <v>-16136.5</v>
      </c>
      <c r="L55" s="27">
        <f>-136.5-16000</f>
        <v>-16136.5</v>
      </c>
      <c r="M55" s="27">
        <f>-136.5-16000</f>
        <v>-16136.5</v>
      </c>
      <c r="N55" s="6">
        <f t="shared" si="1"/>
        <v>-45611.600000000006</v>
      </c>
      <c r="O55" s="6">
        <f t="shared" si="2"/>
        <v>156809.5</v>
      </c>
      <c r="P55" s="6">
        <f t="shared" si="3"/>
        <v>-46461.00000000003</v>
      </c>
      <c r="Q55" s="6">
        <f t="shared" si="4"/>
        <v>159207.4</v>
      </c>
      <c r="R55" s="6">
        <f t="shared" si="5"/>
        <v>160811.7</v>
      </c>
      <c r="S55" s="6"/>
      <c r="T55" s="22"/>
    </row>
    <row r="56" spans="1:20" s="14" customFormat="1" ht="15.75">
      <c r="A56" s="20">
        <v>11</v>
      </c>
      <c r="B56" s="18" t="s">
        <v>6</v>
      </c>
      <c r="C56" s="12" t="s">
        <v>53</v>
      </c>
      <c r="D56" s="13">
        <f aca="true" t="shared" si="16" ref="D56:S56">D58+D59+D57</f>
        <v>127588.6</v>
      </c>
      <c r="E56" s="13">
        <f t="shared" si="16"/>
        <v>-50639.299999999996</v>
      </c>
      <c r="F56" s="13">
        <f t="shared" si="16"/>
        <v>76949.3</v>
      </c>
      <c r="G56" s="13">
        <f t="shared" si="16"/>
        <v>467554.9</v>
      </c>
      <c r="H56" s="13">
        <f t="shared" si="16"/>
        <v>-399325.3</v>
      </c>
      <c r="I56" s="13">
        <f t="shared" si="16"/>
        <v>68229.6</v>
      </c>
      <c r="J56" s="13">
        <f t="shared" si="16"/>
        <v>70272.6</v>
      </c>
      <c r="K56" s="26">
        <f>K58+K59+K57</f>
        <v>112610.2</v>
      </c>
      <c r="L56" s="26">
        <f>L58+L59+L57</f>
        <v>209135.9</v>
      </c>
      <c r="M56" s="26">
        <f>M58+M59+M57</f>
        <v>209183.9</v>
      </c>
      <c r="N56" s="13">
        <f t="shared" si="1"/>
        <v>61970.899999999994</v>
      </c>
      <c r="O56" s="13">
        <f t="shared" si="2"/>
        <v>189559.5</v>
      </c>
      <c r="P56" s="6">
        <f t="shared" si="3"/>
        <v>-190189.40000000002</v>
      </c>
      <c r="Q56" s="6">
        <f t="shared" si="4"/>
        <v>277365.5</v>
      </c>
      <c r="R56" s="6">
        <f t="shared" si="5"/>
        <v>279456.5</v>
      </c>
      <c r="S56" s="13">
        <f t="shared" si="16"/>
        <v>0</v>
      </c>
      <c r="T56" s="22"/>
    </row>
    <row r="57" spans="1:20" ht="15.75">
      <c r="A57" s="9">
        <v>11</v>
      </c>
      <c r="B57" s="7" t="s">
        <v>5</v>
      </c>
      <c r="C57" s="5" t="s">
        <v>69</v>
      </c>
      <c r="D57" s="6">
        <v>21865.6</v>
      </c>
      <c r="E57" s="6">
        <f t="shared" si="6"/>
        <v>-1594.0999999999985</v>
      </c>
      <c r="F57" s="6">
        <v>20271.5</v>
      </c>
      <c r="G57" s="6">
        <v>19125</v>
      </c>
      <c r="H57" s="6">
        <f t="shared" si="7"/>
        <v>1345.4000000000015</v>
      </c>
      <c r="I57" s="6">
        <v>20470.4</v>
      </c>
      <c r="J57" s="6">
        <v>20632.8</v>
      </c>
      <c r="K57" s="27">
        <f>6399.2</f>
        <v>6399.2</v>
      </c>
      <c r="L57" s="27">
        <f>6457.9</f>
        <v>6457.9</v>
      </c>
      <c r="M57" s="27">
        <f>6505.9</f>
        <v>6505.9</v>
      </c>
      <c r="N57" s="6">
        <f t="shared" si="1"/>
        <v>4805.100000000002</v>
      </c>
      <c r="O57" s="6">
        <f t="shared" si="2"/>
        <v>26670.7</v>
      </c>
      <c r="P57" s="6">
        <f t="shared" si="3"/>
        <v>7803.300000000003</v>
      </c>
      <c r="Q57" s="6">
        <f t="shared" si="4"/>
        <v>26928.300000000003</v>
      </c>
      <c r="R57" s="6">
        <f t="shared" si="5"/>
        <v>27138.699999999997</v>
      </c>
      <c r="S57" s="6"/>
      <c r="T57" s="22"/>
    </row>
    <row r="58" spans="1:20" ht="15.75">
      <c r="A58" s="9">
        <v>11</v>
      </c>
      <c r="B58" s="7" t="s">
        <v>8</v>
      </c>
      <c r="C58" s="5" t="s">
        <v>67</v>
      </c>
      <c r="D58" s="6">
        <v>98148</v>
      </c>
      <c r="E58" s="6">
        <f t="shared" si="6"/>
        <v>-49183.6</v>
      </c>
      <c r="F58" s="6">
        <v>48964.4</v>
      </c>
      <c r="G58" s="6">
        <v>440803.2</v>
      </c>
      <c r="H58" s="6">
        <f t="shared" si="7"/>
        <v>-400805.4</v>
      </c>
      <c r="I58" s="6">
        <v>39997.8</v>
      </c>
      <c r="J58" s="6">
        <v>41846.4</v>
      </c>
      <c r="K58" s="27">
        <f>4471.3+1739.7+25000+75000</f>
        <v>106211</v>
      </c>
      <c r="L58" s="27">
        <f>1729.1+948.9+200000</f>
        <v>202678</v>
      </c>
      <c r="M58" s="27">
        <f>1729.1+948.9+200000</f>
        <v>202678</v>
      </c>
      <c r="N58" s="6">
        <f t="shared" si="1"/>
        <v>57027.399999999994</v>
      </c>
      <c r="O58" s="6">
        <f t="shared" si="2"/>
        <v>155175.4</v>
      </c>
      <c r="P58" s="6">
        <f t="shared" si="3"/>
        <v>-198127.40000000002</v>
      </c>
      <c r="Q58" s="6">
        <f t="shared" si="4"/>
        <v>242675.8</v>
      </c>
      <c r="R58" s="6">
        <f t="shared" si="5"/>
        <v>244524.4</v>
      </c>
      <c r="S58" s="6"/>
      <c r="T58" s="22"/>
    </row>
    <row r="59" spans="1:20" ht="15.75">
      <c r="A59" s="9">
        <v>11</v>
      </c>
      <c r="B59" s="7" t="s">
        <v>33</v>
      </c>
      <c r="C59" s="5" t="s">
        <v>68</v>
      </c>
      <c r="D59" s="6">
        <v>7575</v>
      </c>
      <c r="E59" s="6">
        <f t="shared" si="6"/>
        <v>138.39999999999964</v>
      </c>
      <c r="F59" s="6">
        <v>7713.4</v>
      </c>
      <c r="G59" s="6">
        <v>7626.7</v>
      </c>
      <c r="H59" s="6">
        <f t="shared" si="7"/>
        <v>134.69999999999982</v>
      </c>
      <c r="I59" s="6">
        <v>7761.4</v>
      </c>
      <c r="J59" s="6">
        <v>7793.4</v>
      </c>
      <c r="K59" s="27"/>
      <c r="L59" s="27"/>
      <c r="M59" s="27"/>
      <c r="N59" s="6">
        <f t="shared" si="1"/>
        <v>138.39999999999964</v>
      </c>
      <c r="O59" s="6">
        <f t="shared" si="2"/>
        <v>7713.4</v>
      </c>
      <c r="P59" s="6">
        <f t="shared" si="3"/>
        <v>134.69999999999982</v>
      </c>
      <c r="Q59" s="6">
        <f t="shared" si="4"/>
        <v>7761.4</v>
      </c>
      <c r="R59" s="6">
        <f t="shared" si="5"/>
        <v>7793.4</v>
      </c>
      <c r="S59" s="6"/>
      <c r="T59" s="22"/>
    </row>
    <row r="60" spans="1:20" s="14" customFormat="1" ht="15.75">
      <c r="A60" s="18" t="s">
        <v>60</v>
      </c>
      <c r="B60" s="18" t="s">
        <v>60</v>
      </c>
      <c r="C60" s="12" t="s">
        <v>61</v>
      </c>
      <c r="D60" s="13">
        <v>526406.582</v>
      </c>
      <c r="E60" s="13">
        <f t="shared" si="6"/>
        <v>-526406.582</v>
      </c>
      <c r="F60" s="13">
        <v>0</v>
      </c>
      <c r="G60" s="13">
        <v>1932640.2</v>
      </c>
      <c r="H60" s="13">
        <f t="shared" si="7"/>
        <v>-1468884.2</v>
      </c>
      <c r="I60" s="13">
        <v>463756</v>
      </c>
      <c r="J60" s="13">
        <v>962626.1</v>
      </c>
      <c r="K60" s="26"/>
      <c r="L60" s="26"/>
      <c r="M60" s="26"/>
      <c r="N60" s="13">
        <f t="shared" si="1"/>
        <v>-526406.582</v>
      </c>
      <c r="O60" s="13">
        <f t="shared" si="2"/>
        <v>0</v>
      </c>
      <c r="P60" s="6">
        <f t="shared" si="3"/>
        <v>-1468884.2</v>
      </c>
      <c r="Q60" s="6">
        <f t="shared" si="4"/>
        <v>463756</v>
      </c>
      <c r="R60" s="6">
        <f t="shared" si="5"/>
        <v>962626.1</v>
      </c>
      <c r="S60" s="13"/>
      <c r="T60" s="22"/>
    </row>
    <row r="61" spans="1:20" s="14" customFormat="1" ht="15.75">
      <c r="A61" s="19"/>
      <c r="B61" s="11"/>
      <c r="C61" s="12" t="s">
        <v>62</v>
      </c>
      <c r="D61" s="13">
        <f>D60+D51+D44+D41+D36+D33+D28+D23+D19+D10+D56</f>
        <v>21056263.281999998</v>
      </c>
      <c r="E61" s="13">
        <f t="shared" si="6"/>
        <v>-1106901.0819999985</v>
      </c>
      <c r="F61" s="13">
        <f>F60+F51+F44+F41+F36+F33+F28+F23+F19+F10+F56</f>
        <v>19949362.2</v>
      </c>
      <c r="G61" s="13">
        <f>G60+G51+G44+G41+G36+G33+G28+G23+G19+G10+G56</f>
        <v>20630562.300000004</v>
      </c>
      <c r="H61" s="13">
        <f t="shared" si="7"/>
        <v>-2080346.700000003</v>
      </c>
      <c r="I61" s="13">
        <f>I60+I51+I44+I41+I36+I33+I28+I23+I19+I10+I56</f>
        <v>18550215.6</v>
      </c>
      <c r="J61" s="13">
        <f>J60+J51+J44+J41+J36+J33+J28+J23+J19+J10+J56</f>
        <v>19252509.2</v>
      </c>
      <c r="K61" s="26">
        <f>K60+K51+K44+K41+K36+K33+K28+K23+K19+K10+K56</f>
        <v>0</v>
      </c>
      <c r="L61" s="26">
        <f>L60+L51+L44+L41+L36+L33+L28+L23+L19+L10+L56</f>
        <v>0</v>
      </c>
      <c r="M61" s="26">
        <f>M60+M51+M44+M41+M36+M33+M28+M23+M19+M10+M56</f>
        <v>0</v>
      </c>
      <c r="N61" s="13">
        <f>O61-D61</f>
        <v>-1106901.0819999985</v>
      </c>
      <c r="O61" s="13">
        <f>F61+K61</f>
        <v>19949362.2</v>
      </c>
      <c r="P61" s="6">
        <f>Q61-G61</f>
        <v>-2080346.700000003</v>
      </c>
      <c r="Q61" s="6">
        <f>I61+L61</f>
        <v>18550215.6</v>
      </c>
      <c r="R61" s="6">
        <f>J61+M61</f>
        <v>19252509.2</v>
      </c>
      <c r="S61" s="13">
        <f>S60+S51+S44+S41+S36+S33+S28+S23+S19+S10+S56</f>
        <v>0</v>
      </c>
      <c r="T61" s="22"/>
    </row>
  </sheetData>
  <sheetProtection/>
  <mergeCells count="17">
    <mergeCell ref="S8:S9"/>
    <mergeCell ref="D8:D9"/>
    <mergeCell ref="G8:G9"/>
    <mergeCell ref="A8:A9"/>
    <mergeCell ref="B8:B9"/>
    <mergeCell ref="K8:M8"/>
    <mergeCell ref="N8:O8"/>
    <mergeCell ref="P8:Q8"/>
    <mergeCell ref="R8:R9"/>
    <mergeCell ref="C1:O1"/>
    <mergeCell ref="C2:O2"/>
    <mergeCell ref="C3:O3"/>
    <mergeCell ref="A5:O5"/>
    <mergeCell ref="C8:C9"/>
    <mergeCell ref="E8:F8"/>
    <mergeCell ref="H8:I8"/>
    <mergeCell ref="J8:J9"/>
  </mergeCells>
  <printOptions/>
  <pageMargins left="0.56" right="0.15748031496062992" top="0.15748031496062992" bottom="0.4330708661417323" header="0.5118110236220472" footer="0.15748031496062992"/>
  <pageSetup fitToHeight="2" fitToWidth="1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326-104</dc:creator>
  <cp:keywords/>
  <dc:description/>
  <cp:lastModifiedBy>EKolyshkina</cp:lastModifiedBy>
  <cp:lastPrinted>2011-09-07T08:09:49Z</cp:lastPrinted>
  <dcterms:created xsi:type="dcterms:W3CDTF">2009-10-24T08:23:52Z</dcterms:created>
  <dcterms:modified xsi:type="dcterms:W3CDTF">2011-12-23T07:37:10Z</dcterms:modified>
  <cp:category/>
  <cp:version/>
  <cp:contentType/>
  <cp:contentStatus/>
</cp:coreProperties>
</file>