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Приложение № 10" sheetId="1" r:id="rId1"/>
  </sheets>
  <definedNames>
    <definedName name="_xlnm._FilterDatabase" localSheetId="0" hidden="1">'Приложение № 10'!$A$9:$T$58</definedName>
    <definedName name="_xlnm.Print_Titles" localSheetId="0">'Приложение № 10'!$8:$9</definedName>
  </definedNames>
  <calcPr fullCalcOnLoad="1"/>
</workbook>
</file>

<file path=xl/sharedStrings.xml><?xml version="1.0" encoding="utf-8"?>
<sst xmlns="http://schemas.openxmlformats.org/spreadsheetml/2006/main" count="170" uniqueCount="86">
  <si>
    <t>Раздел</t>
  </si>
  <si>
    <t>Подраз-дел</t>
  </si>
  <si>
    <t xml:space="preserve">Наименование </t>
  </si>
  <si>
    <t>2013 год (I чтение)</t>
  </si>
  <si>
    <t>2014 год (I чтение)</t>
  </si>
  <si>
    <t>Формулы</t>
  </si>
  <si>
    <t>изменения</t>
  </si>
  <si>
    <t>с учетом изменений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</si>
  <si>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</si>
  <si>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</si>
  <si>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</si>
  <si>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</si>
  <si>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</si>
  <si>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</si>
  <si>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</si>
  <si>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</si>
  <si>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</si>
  <si>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</si>
  <si>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</si>
  <si>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</si>
  <si>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</si>
  <si>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</si>
  <si>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</si>
  <si>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</si>
  <si>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</si>
  <si>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</si>
  <si>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</si>
  <si>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</si>
  <si>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</si>
  <si>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</si>
  <si>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</si>
  <si>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</si>
  <si>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</si>
  <si>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</si>
  <si>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</si>
  <si>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</si>
  <si>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</si>
  <si>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</si>
  <si>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</si>
  <si>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</si>
  <si>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</si>
  <si>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</si>
  <si>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</si>
  <si>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</si>
  <si>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</si>
  <si>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</si>
  <si>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</si>
  <si>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</si>
  <si>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</si>
  <si>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</si>
  <si>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</si>
  <si>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</si>
  <si>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</si>
  <si>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</si>
  <si>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</si>
  <si>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</si>
  <si>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</si>
  <si>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</si>
  <si>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</si>
  <si>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</si>
  <si>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</si>
  <si>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</si>
  <si>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</si>
  <si>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</si>
  <si>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</si>
  <si>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</si>
  <si>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</si>
  <si>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</si>
  <si>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</si>
  <si>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</si>
  <si>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99</t>
  </si>
  <si>
    <t>Условно утвержденные расходы</t>
  </si>
  <si>
    <t>ВСЕГО</t>
  </si>
  <si>
    <t>2015 год (I чтение)</t>
  </si>
  <si>
    <t>2013 год (с учетом изменений РД № 250 в ноябре)</t>
  </si>
  <si>
    <t>2014 год (сучетом изменений в РД № 250 в ноябре)</t>
  </si>
  <si>
    <t>Поправки ко II чтению</t>
  </si>
  <si>
    <t>2013 год</t>
  </si>
  <si>
    <t xml:space="preserve">2014 год </t>
  </si>
  <si>
    <t>2015 год</t>
  </si>
  <si>
    <t>2013 год (II чтение)</t>
  </si>
  <si>
    <t>тыс. руб.</t>
  </si>
  <si>
    <t>Функциональная структура расходов бюджета города Перми на плановый период 2014 и 2015 годов</t>
  </si>
  <si>
    <t>Приложение № 10 к решению</t>
  </si>
  <si>
    <t>Пермской городской Думы</t>
  </si>
  <si>
    <t>от 18.12.2012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</si>
</sst>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80" zoomScaleNormal="80" zoomScalePageLayoutView="0" workbookViewId="0" topLeftCell="A1">
      <selection activeCell="C3" sqref="C3:R3"/>
    </sheetView>
  </sheetViews>
  <sheetFormatPr defaultColWidth="9.140625" defaultRowHeight="15"/>
  <cols>
    <col min="1" max="1" width="8.140625" style="1" customWidth="1"/>
    <col min="2" max="2" width="8.7109375" style="2" customWidth="1"/>
    <col min="3" max="3" width="69.8515625" style="4" customWidth="1"/>
    <col min="4" max="4" width="16.8515625" style="1" hidden="1" customWidth="1"/>
    <col min="5" max="5" width="17.140625" style="1" hidden="1" customWidth="1"/>
    <col min="6" max="7" width="16.421875" style="1" hidden="1" customWidth="1"/>
    <col min="8" max="8" width="17.28125" style="1" hidden="1" customWidth="1"/>
    <col min="9" max="10" width="16.421875" style="1" hidden="1" customWidth="1"/>
    <col min="11" max="13" width="14.421875" style="1" hidden="1" customWidth="1"/>
    <col min="14" max="14" width="16.140625" style="1" hidden="1" customWidth="1"/>
    <col min="15" max="15" width="17.00390625" style="1" hidden="1" customWidth="1"/>
    <col min="16" max="16" width="16.57421875" style="1" customWidth="1"/>
    <col min="17" max="17" width="17.00390625" style="1" customWidth="1"/>
    <col min="18" max="18" width="18.00390625" style="1" customWidth="1"/>
    <col min="19" max="19" width="14.421875" style="1" hidden="1" customWidth="1"/>
    <col min="20" max="20" width="15.140625" style="1" customWidth="1"/>
    <col min="21" max="16384" width="9.140625" style="1" customWidth="1"/>
  </cols>
  <sheetData>
    <row r="1" spans="3:18" ht="15.75">
      <c r="C1" s="25" t="s">
        <v>83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3:18" ht="15.75">
      <c r="C2" s="25" t="s">
        <v>84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3:18" ht="15.75">
      <c r="C3" s="25" t="s">
        <v>85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5" spans="1:18" ht="15.75" customHeight="1">
      <c r="A5" s="30" t="s">
        <v>82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9" ht="15.75">
      <c r="A6" s="5"/>
      <c r="B6" s="5"/>
      <c r="C6" s="5"/>
      <c r="D6" s="5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15.75">
      <c r="R7" s="3" t="s">
        <v>81</v>
      </c>
    </row>
    <row r="8" spans="1:19" ht="27" customHeight="1">
      <c r="A8" s="26" t="s">
        <v>0</v>
      </c>
      <c r="B8" s="26" t="s">
        <v>1</v>
      </c>
      <c r="C8" s="27" t="s">
        <v>2</v>
      </c>
      <c r="D8" s="28" t="s">
        <v>74</v>
      </c>
      <c r="E8" s="27" t="s">
        <v>3</v>
      </c>
      <c r="F8" s="27"/>
      <c r="G8" s="28" t="s">
        <v>75</v>
      </c>
      <c r="H8" s="27" t="s">
        <v>4</v>
      </c>
      <c r="I8" s="27"/>
      <c r="J8" s="28" t="s">
        <v>73</v>
      </c>
      <c r="K8" s="27" t="s">
        <v>76</v>
      </c>
      <c r="L8" s="27"/>
      <c r="M8" s="27"/>
      <c r="N8" s="27" t="s">
        <v>80</v>
      </c>
      <c r="O8" s="27"/>
      <c r="P8" s="27" t="s">
        <v>78</v>
      </c>
      <c r="Q8" s="27"/>
      <c r="R8" s="28" t="s">
        <v>79</v>
      </c>
      <c r="S8" s="28" t="s">
        <v>5</v>
      </c>
    </row>
    <row r="9" spans="1:19" ht="36.75" customHeight="1">
      <c r="A9" s="26"/>
      <c r="B9" s="26"/>
      <c r="C9" s="27"/>
      <c r="D9" s="29"/>
      <c r="E9" s="6" t="s">
        <v>6</v>
      </c>
      <c r="F9" s="6" t="s">
        <v>7</v>
      </c>
      <c r="G9" s="29"/>
      <c r="H9" s="6" t="s">
        <v>6</v>
      </c>
      <c r="I9" s="6" t="s">
        <v>7</v>
      </c>
      <c r="J9" s="29"/>
      <c r="K9" s="6" t="s">
        <v>77</v>
      </c>
      <c r="L9" s="6" t="s">
        <v>78</v>
      </c>
      <c r="M9" s="6" t="s">
        <v>79</v>
      </c>
      <c r="N9" s="24" t="s">
        <v>6</v>
      </c>
      <c r="O9" s="24" t="s">
        <v>7</v>
      </c>
      <c r="P9" s="24" t="s">
        <v>6</v>
      </c>
      <c r="Q9" s="24" t="s">
        <v>7</v>
      </c>
      <c r="R9" s="29"/>
      <c r="S9" s="29"/>
    </row>
    <row r="10" spans="1:20" s="11" customFormat="1" ht="15.75">
      <c r="A10" s="7" t="s">
        <v>8</v>
      </c>
      <c r="B10" s="7" t="s">
        <v>9</v>
      </c>
      <c r="C10" s="8" t="s">
        <v>10</v>
      </c>
      <c r="D10" s="9">
        <f>SUM(D11:D17)</f>
        <v>1673604.7999999998</v>
      </c>
      <c r="E10" s="9">
        <f>F10-D10</f>
        <v>194371.05000000028</v>
      </c>
      <c r="F10" s="9">
        <f>SUM(F11:F17)</f>
        <v>1867975.85</v>
      </c>
      <c r="G10" s="9">
        <f>SUM(G11:G17)</f>
        <v>1706289.7000000002</v>
      </c>
      <c r="H10" s="9">
        <f>I10-G10</f>
        <v>135850.8999999999</v>
      </c>
      <c r="I10" s="9">
        <f>SUM(I11:I17)</f>
        <v>1842140.6</v>
      </c>
      <c r="J10" s="9">
        <f>SUM(J11:J17)</f>
        <v>1840909</v>
      </c>
      <c r="K10" s="9">
        <f>SUM(K11:K17)</f>
        <v>44224.30000000001</v>
      </c>
      <c r="L10" s="9">
        <f>SUM(L11:L17)</f>
        <v>26440.800000000003</v>
      </c>
      <c r="M10" s="9">
        <f>SUM(M11:M17)</f>
        <v>26724.999999999996</v>
      </c>
      <c r="N10" s="15">
        <f aca="true" t="shared" si="0" ref="N10:N57">O10-D10</f>
        <v>238595.35000000033</v>
      </c>
      <c r="O10" s="15">
        <f aca="true" t="shared" si="1" ref="O10:O57">F10+K10</f>
        <v>1912200.1500000001</v>
      </c>
      <c r="P10" s="9">
        <f aca="true" t="shared" si="2" ref="P10:P57">Q10-G10</f>
        <v>162291.69999999995</v>
      </c>
      <c r="Q10" s="9">
        <f aca="true" t="shared" si="3" ref="Q10:R57">I10+L10</f>
        <v>1868581.4000000001</v>
      </c>
      <c r="R10" s="9">
        <f t="shared" si="3"/>
        <v>1867634</v>
      </c>
      <c r="S10" s="9">
        <f>SUM(S11:S17)</f>
        <v>0</v>
      </c>
      <c r="T10" s="10"/>
    </row>
    <row r="11" spans="1:20" ht="31.5">
      <c r="A11" s="12" t="s">
        <v>8</v>
      </c>
      <c r="B11" s="13" t="s">
        <v>11</v>
      </c>
      <c r="C11" s="14" t="s">
        <v>12</v>
      </c>
      <c r="D11" s="15">
        <v>2980.1</v>
      </c>
      <c r="E11" s="15">
        <f aca="true" t="shared" si="4" ref="E11:E58">F11-D11</f>
        <v>384.2000000000003</v>
      </c>
      <c r="F11" s="15">
        <v>3364.3</v>
      </c>
      <c r="G11" s="15">
        <v>2980.1</v>
      </c>
      <c r="H11" s="15">
        <f aca="true" t="shared" si="5" ref="H11:H58">I11-G11</f>
        <v>384.2000000000003</v>
      </c>
      <c r="I11" s="15">
        <v>3364.3</v>
      </c>
      <c r="J11" s="15">
        <v>3364.3</v>
      </c>
      <c r="K11" s="15"/>
      <c r="L11" s="15"/>
      <c r="M11" s="15"/>
      <c r="N11" s="15">
        <f t="shared" si="0"/>
        <v>384.2000000000003</v>
      </c>
      <c r="O11" s="15">
        <f t="shared" si="1"/>
        <v>3364.3</v>
      </c>
      <c r="P11" s="15">
        <f t="shared" si="2"/>
        <v>384.2000000000003</v>
      </c>
      <c r="Q11" s="15">
        <f t="shared" si="3"/>
        <v>3364.3</v>
      </c>
      <c r="R11" s="15">
        <f t="shared" si="3"/>
        <v>3364.3</v>
      </c>
      <c r="S11" s="15"/>
      <c r="T11" s="10"/>
    </row>
    <row r="12" spans="1:20" ht="47.25">
      <c r="A12" s="12" t="s">
        <v>8</v>
      </c>
      <c r="B12" s="13" t="s">
        <v>13</v>
      </c>
      <c r="C12" s="14" t="s">
        <v>14</v>
      </c>
      <c r="D12" s="15">
        <v>145564.9</v>
      </c>
      <c r="E12" s="15">
        <f t="shared" si="4"/>
        <v>-43365.2</v>
      </c>
      <c r="F12" s="15">
        <v>102199.7</v>
      </c>
      <c r="G12" s="15">
        <v>149553.7</v>
      </c>
      <c r="H12" s="15">
        <f t="shared" si="5"/>
        <v>-47303.80000000002</v>
      </c>
      <c r="I12" s="15">
        <v>102249.9</v>
      </c>
      <c r="J12" s="15">
        <v>102879.5</v>
      </c>
      <c r="K12" s="15"/>
      <c r="L12" s="15"/>
      <c r="M12" s="15"/>
      <c r="N12" s="15">
        <f t="shared" si="0"/>
        <v>-43365.2</v>
      </c>
      <c r="O12" s="15">
        <f t="shared" si="1"/>
        <v>102199.7</v>
      </c>
      <c r="P12" s="15">
        <f t="shared" si="2"/>
        <v>-47303.80000000002</v>
      </c>
      <c r="Q12" s="15">
        <f t="shared" si="3"/>
        <v>102249.9</v>
      </c>
      <c r="R12" s="15">
        <f t="shared" si="3"/>
        <v>102879.5</v>
      </c>
      <c r="S12" s="15"/>
      <c r="T12" s="10"/>
    </row>
    <row r="13" spans="1:20" ht="47.25">
      <c r="A13" s="12" t="s">
        <v>8</v>
      </c>
      <c r="B13" s="13" t="s">
        <v>15</v>
      </c>
      <c r="C13" s="14" t="s">
        <v>16</v>
      </c>
      <c r="D13" s="15">
        <v>506937.279</v>
      </c>
      <c r="E13" s="15">
        <f t="shared" si="4"/>
        <v>-21420.179000000004</v>
      </c>
      <c r="F13" s="15">
        <v>485517.1</v>
      </c>
      <c r="G13" s="15">
        <v>511305.642</v>
      </c>
      <c r="H13" s="15">
        <f t="shared" si="5"/>
        <v>-31178.042000000016</v>
      </c>
      <c r="I13" s="15">
        <v>480127.6</v>
      </c>
      <c r="J13" s="15">
        <v>484691.3</v>
      </c>
      <c r="K13" s="15">
        <f>-214-126.6-280.7-14.5-30-515.4-267.9-3283.9-854.2-687.3-1181.9-10.7-187.2-43-1.5-1523.7-30-2357.5-44.1-451.8-45.2-1480.4-274.1-280.7-44.5-546.5-19.8-2729-44.5-8796.6-554.8</f>
        <v>-26921.999999999996</v>
      </c>
      <c r="L13" s="15">
        <f>-279.1-164.1-280.7-14.5-30-705.4-505.6-3449.1-854.2-723.8-1249.7-14.3-187.2-43-1.5-1792.2-30-2680.1-58.9-660.1-1681.9-365.4-280.7-44.5-546.5-19.8-2729-44.5-5900-637</f>
        <v>-25972.8</v>
      </c>
      <c r="M13" s="15">
        <f>-279.1-164.1-280.7-15.5-30-705.4-515.6-3482.5-854.2-723.8-1263.9-14.3-187.2-43-2.5-1792.2-2739.4-58.9-660.1-1700.3-365.4-280.7-45.5-546.5-19.8-2729-45.5-9200-644</f>
        <v>-29389.1</v>
      </c>
      <c r="N13" s="15">
        <f t="shared" si="0"/>
        <v>-48342.179000000004</v>
      </c>
      <c r="O13" s="15">
        <f t="shared" si="1"/>
        <v>458595.1</v>
      </c>
      <c r="P13" s="15">
        <f t="shared" si="2"/>
        <v>-57150.842000000004</v>
      </c>
      <c r="Q13" s="15">
        <f t="shared" si="3"/>
        <v>454154.8</v>
      </c>
      <c r="R13" s="15">
        <f t="shared" si="3"/>
        <v>455302.2</v>
      </c>
      <c r="S13" s="15"/>
      <c r="T13" s="10"/>
    </row>
    <row r="14" spans="1:20" ht="31.5">
      <c r="A14" s="12" t="s">
        <v>8</v>
      </c>
      <c r="B14" s="13" t="s">
        <v>18</v>
      </c>
      <c r="C14" s="14" t="s">
        <v>19</v>
      </c>
      <c r="D14" s="15">
        <v>104775.09999999999</v>
      </c>
      <c r="E14" s="15">
        <f t="shared" si="4"/>
        <v>11729.700000000012</v>
      </c>
      <c r="F14" s="15">
        <v>116504.8</v>
      </c>
      <c r="G14" s="15">
        <v>105279.9</v>
      </c>
      <c r="H14" s="15">
        <f t="shared" si="5"/>
        <v>11224.900000000009</v>
      </c>
      <c r="I14" s="15">
        <v>116504.8</v>
      </c>
      <c r="J14" s="15">
        <v>116750.8</v>
      </c>
      <c r="K14" s="15">
        <v>915.7</v>
      </c>
      <c r="L14" s="15">
        <v>915.7</v>
      </c>
      <c r="M14" s="15">
        <v>915.7</v>
      </c>
      <c r="N14" s="15">
        <f t="shared" si="0"/>
        <v>12645.400000000009</v>
      </c>
      <c r="O14" s="15">
        <f t="shared" si="1"/>
        <v>117420.5</v>
      </c>
      <c r="P14" s="15">
        <f t="shared" si="2"/>
        <v>12140.600000000006</v>
      </c>
      <c r="Q14" s="15">
        <f t="shared" si="3"/>
        <v>117420.5</v>
      </c>
      <c r="R14" s="15">
        <f t="shared" si="3"/>
        <v>117666.5</v>
      </c>
      <c r="S14" s="15"/>
      <c r="T14" s="10"/>
    </row>
    <row r="15" spans="1:20" ht="15.75">
      <c r="A15" s="12" t="s">
        <v>8</v>
      </c>
      <c r="B15" s="13" t="s">
        <v>20</v>
      </c>
      <c r="C15" s="14" t="s">
        <v>21</v>
      </c>
      <c r="D15" s="15">
        <v>4918.7</v>
      </c>
      <c r="E15" s="15">
        <f t="shared" si="4"/>
        <v>580.6000000000004</v>
      </c>
      <c r="F15" s="15">
        <v>5499.3</v>
      </c>
      <c r="G15" s="15">
        <v>4930.4</v>
      </c>
      <c r="H15" s="15">
        <f t="shared" si="5"/>
        <v>567.9000000000005</v>
      </c>
      <c r="I15" s="15">
        <v>5498.3</v>
      </c>
      <c r="J15" s="15">
        <v>5502.9</v>
      </c>
      <c r="K15" s="15">
        <f>4855.5</f>
        <v>4855.5</v>
      </c>
      <c r="L15" s="15"/>
      <c r="M15" s="15"/>
      <c r="N15" s="15">
        <f t="shared" si="0"/>
        <v>5436.099999999999</v>
      </c>
      <c r="O15" s="15">
        <f t="shared" si="1"/>
        <v>10354.8</v>
      </c>
      <c r="P15" s="15">
        <f t="shared" si="2"/>
        <v>567.9000000000005</v>
      </c>
      <c r="Q15" s="15">
        <f t="shared" si="3"/>
        <v>5498.3</v>
      </c>
      <c r="R15" s="15">
        <f t="shared" si="3"/>
        <v>5502.9</v>
      </c>
      <c r="S15" s="15"/>
      <c r="T15" s="10"/>
    </row>
    <row r="16" spans="1:20" ht="15.75">
      <c r="A16" s="12" t="s">
        <v>8</v>
      </c>
      <c r="B16" s="13" t="s">
        <v>22</v>
      </c>
      <c r="C16" s="14" t="s">
        <v>23</v>
      </c>
      <c r="D16" s="15">
        <v>84530.2</v>
      </c>
      <c r="E16" s="15">
        <f t="shared" si="4"/>
        <v>-7090.699999999997</v>
      </c>
      <c r="F16" s="15">
        <v>77439.5</v>
      </c>
      <c r="G16" s="15">
        <v>131271.1</v>
      </c>
      <c r="H16" s="15">
        <f t="shared" si="5"/>
        <v>-54141.3</v>
      </c>
      <c r="I16" s="15">
        <v>77129.8</v>
      </c>
      <c r="J16" s="15">
        <v>78672.4</v>
      </c>
      <c r="K16" s="15"/>
      <c r="L16" s="15"/>
      <c r="M16" s="15"/>
      <c r="N16" s="15">
        <f t="shared" si="0"/>
        <v>-7090.699999999997</v>
      </c>
      <c r="O16" s="15">
        <f t="shared" si="1"/>
        <v>77439.5</v>
      </c>
      <c r="P16" s="15">
        <f t="shared" si="2"/>
        <v>-54141.3</v>
      </c>
      <c r="Q16" s="15">
        <f t="shared" si="3"/>
        <v>77129.8</v>
      </c>
      <c r="R16" s="15">
        <f t="shared" si="3"/>
        <v>78672.4</v>
      </c>
      <c r="S16" s="15"/>
      <c r="T16" s="10"/>
    </row>
    <row r="17" spans="1:20" ht="15.75">
      <c r="A17" s="12" t="s">
        <v>8</v>
      </c>
      <c r="B17" s="13" t="s">
        <v>24</v>
      </c>
      <c r="C17" s="14" t="s">
        <v>25</v>
      </c>
      <c r="D17" s="15">
        <v>823898.5210000001</v>
      </c>
      <c r="E17" s="15">
        <f t="shared" si="4"/>
        <v>253552.62899999984</v>
      </c>
      <c r="F17" s="15">
        <v>1077451.15</v>
      </c>
      <c r="G17" s="15">
        <v>800968.858</v>
      </c>
      <c r="H17" s="15">
        <f t="shared" si="5"/>
        <v>256297.0419999999</v>
      </c>
      <c r="I17" s="15">
        <v>1057265.9</v>
      </c>
      <c r="J17" s="15">
        <v>1049047.8</v>
      </c>
      <c r="K17" s="15">
        <f>-1134.6-351-44.5+1520.5+80+53.5-351-25-19.5+842.1+133.5+2683.7+120.9+9493.7+1329.5+8796.6+9617.8+567.6+61.6+4165.1+188.3+27646.3</f>
        <v>65375.100000000006</v>
      </c>
      <c r="L17" s="15">
        <f>-285.2-351-44.5+1520.5+80+53.5-351-25-19.5+842.1+133.5+3452.1+505.6+10140.8+1476.7+5900+19124.1+565.4+61.6+8330.4+387.8</f>
        <v>51497.9</v>
      </c>
      <c r="M17" s="15">
        <f>-296.2-351-45.5+1520.5+81.6+54.9-351-26-19.5+842.1+136.5+3452.1+515.6+10240.1+1476.7+9200+19399.8+576.7+61.6+8330.4+399.1-0.1</f>
        <v>55198.399999999994</v>
      </c>
      <c r="N17" s="15">
        <f t="shared" si="0"/>
        <v>318927.72899999993</v>
      </c>
      <c r="O17" s="15">
        <f t="shared" si="1"/>
        <v>1142826.25</v>
      </c>
      <c r="P17" s="15">
        <f t="shared" si="2"/>
        <v>307794.9419999998</v>
      </c>
      <c r="Q17" s="15">
        <f t="shared" si="3"/>
        <v>1108763.7999999998</v>
      </c>
      <c r="R17" s="15">
        <f t="shared" si="3"/>
        <v>1104246.2</v>
      </c>
      <c r="S17" s="15"/>
      <c r="T17" s="10"/>
    </row>
    <row r="18" spans="1:20" s="11" customFormat="1" ht="31.5">
      <c r="A18" s="7" t="s">
        <v>13</v>
      </c>
      <c r="B18" s="7" t="s">
        <v>9</v>
      </c>
      <c r="C18" s="16" t="s">
        <v>26</v>
      </c>
      <c r="D18" s="9">
        <f>SUM(D19:D20)</f>
        <v>121639.9</v>
      </c>
      <c r="E18" s="9">
        <f t="shared" si="4"/>
        <v>26288.100000000006</v>
      </c>
      <c r="F18" s="9">
        <f>SUM(F19:F20)</f>
        <v>147928</v>
      </c>
      <c r="G18" s="9">
        <f>SUM(G19:G20)</f>
        <v>123144.40000000001</v>
      </c>
      <c r="H18" s="9">
        <f t="shared" si="5"/>
        <v>28005.199999999997</v>
      </c>
      <c r="I18" s="9">
        <f>SUM(I19:I20)</f>
        <v>151149.6</v>
      </c>
      <c r="J18" s="9">
        <f>SUM(J19:J20)</f>
        <v>140261.7</v>
      </c>
      <c r="K18" s="9">
        <f>SUM(K19:K20)</f>
        <v>-1992.2000000000003</v>
      </c>
      <c r="L18" s="9">
        <f>SUM(L19:L20)</f>
        <v>-1852.3000000000004</v>
      </c>
      <c r="M18" s="9">
        <f>SUM(M19:M20)</f>
        <v>-1858.6000000000004</v>
      </c>
      <c r="N18" s="15">
        <f t="shared" si="0"/>
        <v>24295.899999999994</v>
      </c>
      <c r="O18" s="15">
        <f t="shared" si="1"/>
        <v>145935.8</v>
      </c>
      <c r="P18" s="9">
        <f t="shared" si="2"/>
        <v>26152.90000000001</v>
      </c>
      <c r="Q18" s="9">
        <f t="shared" si="3"/>
        <v>149297.30000000002</v>
      </c>
      <c r="R18" s="9">
        <f t="shared" si="3"/>
        <v>138403.1</v>
      </c>
      <c r="S18" s="9">
        <f>SUM(S19:S20)</f>
        <v>0</v>
      </c>
      <c r="T18" s="10"/>
    </row>
    <row r="19" spans="1:20" ht="31.5">
      <c r="A19" s="12" t="s">
        <v>13</v>
      </c>
      <c r="B19" s="13" t="s">
        <v>27</v>
      </c>
      <c r="C19" s="17" t="s">
        <v>28</v>
      </c>
      <c r="D19" s="15">
        <v>108595.5</v>
      </c>
      <c r="E19" s="15">
        <f t="shared" si="4"/>
        <v>18064.899999999994</v>
      </c>
      <c r="F19" s="15">
        <v>126660.4</v>
      </c>
      <c r="G19" s="15">
        <v>109920.8</v>
      </c>
      <c r="H19" s="15">
        <f t="shared" si="5"/>
        <v>13001.699999999997</v>
      </c>
      <c r="I19" s="15">
        <v>122922.5</v>
      </c>
      <c r="J19" s="15">
        <v>117112.5</v>
      </c>
      <c r="K19" s="15"/>
      <c r="L19" s="15"/>
      <c r="M19" s="15"/>
      <c r="N19" s="15">
        <f t="shared" si="0"/>
        <v>18064.899999999994</v>
      </c>
      <c r="O19" s="15">
        <f t="shared" si="1"/>
        <v>126660.4</v>
      </c>
      <c r="P19" s="15">
        <f t="shared" si="2"/>
        <v>13001.699999999997</v>
      </c>
      <c r="Q19" s="15">
        <f t="shared" si="3"/>
        <v>122922.5</v>
      </c>
      <c r="R19" s="15">
        <f t="shared" si="3"/>
        <v>117112.5</v>
      </c>
      <c r="S19" s="15"/>
      <c r="T19" s="10"/>
    </row>
    <row r="20" spans="1:20" ht="31.5">
      <c r="A20" s="12" t="s">
        <v>13</v>
      </c>
      <c r="B20" s="13" t="s">
        <v>29</v>
      </c>
      <c r="C20" s="14" t="s">
        <v>30</v>
      </c>
      <c r="D20" s="15">
        <v>13044.4</v>
      </c>
      <c r="E20" s="15">
        <f t="shared" si="4"/>
        <v>8223.199999999999</v>
      </c>
      <c r="F20" s="15">
        <v>21267.6</v>
      </c>
      <c r="G20" s="15">
        <v>13223.6</v>
      </c>
      <c r="H20" s="15">
        <f t="shared" si="5"/>
        <v>15003.499999999998</v>
      </c>
      <c r="I20" s="15">
        <v>28227.1</v>
      </c>
      <c r="J20" s="15">
        <v>23149.2</v>
      </c>
      <c r="K20" s="15">
        <f>-935.9-89+16.5-35.4-422.2-104.9-421.3</f>
        <v>-1992.2000000000003</v>
      </c>
      <c r="L20" s="15">
        <f>-935.9-89+29.3-35-379.1-9.7-84.9-9.7-338.3</f>
        <v>-1852.3000000000004</v>
      </c>
      <c r="M20" s="15">
        <f>-935.9-91+70+7.4-379.1-73.4-456.6</f>
        <v>-1858.6000000000004</v>
      </c>
      <c r="N20" s="15">
        <f t="shared" si="0"/>
        <v>6230.999999999998</v>
      </c>
      <c r="O20" s="15">
        <f t="shared" si="1"/>
        <v>19275.399999999998</v>
      </c>
      <c r="P20" s="15">
        <f t="shared" si="2"/>
        <v>13151.199999999999</v>
      </c>
      <c r="Q20" s="15">
        <f t="shared" si="3"/>
        <v>26374.8</v>
      </c>
      <c r="R20" s="15">
        <f t="shared" si="3"/>
        <v>21290.6</v>
      </c>
      <c r="S20" s="15"/>
      <c r="T20" s="10"/>
    </row>
    <row r="21" spans="1:20" s="11" customFormat="1" ht="15.75">
      <c r="A21" s="7" t="s">
        <v>15</v>
      </c>
      <c r="B21" s="7" t="s">
        <v>9</v>
      </c>
      <c r="C21" s="8" t="s">
        <v>31</v>
      </c>
      <c r="D21" s="9">
        <f>SUM(D22:D25)</f>
        <v>3093055.1070000003</v>
      </c>
      <c r="E21" s="9">
        <f t="shared" si="4"/>
        <v>181185.6929999995</v>
      </c>
      <c r="F21" s="9">
        <f>SUM(F22:F25)</f>
        <v>3274240.8</v>
      </c>
      <c r="G21" s="9">
        <f>SUM(G22:G25)</f>
        <v>3453032.1300000004</v>
      </c>
      <c r="H21" s="9">
        <f t="shared" si="5"/>
        <v>-333234.33000000054</v>
      </c>
      <c r="I21" s="9">
        <f>SUM(I22:I25)</f>
        <v>3119797.8</v>
      </c>
      <c r="J21" s="9">
        <f>SUM(J22:J25)</f>
        <v>3024736.9</v>
      </c>
      <c r="K21" s="9">
        <f>SUM(K22:K25)</f>
        <v>-6056.3</v>
      </c>
      <c r="L21" s="9">
        <f>SUM(L22:L25)</f>
        <v>62772</v>
      </c>
      <c r="M21" s="9">
        <f>SUM(M22:M25)</f>
        <v>80489.7</v>
      </c>
      <c r="N21" s="15">
        <f t="shared" si="0"/>
        <v>175129.3929999997</v>
      </c>
      <c r="O21" s="15">
        <f t="shared" si="1"/>
        <v>3268184.5</v>
      </c>
      <c r="P21" s="9">
        <f t="shared" si="2"/>
        <v>-270462.33000000054</v>
      </c>
      <c r="Q21" s="9">
        <f t="shared" si="3"/>
        <v>3182569.8</v>
      </c>
      <c r="R21" s="9">
        <f t="shared" si="3"/>
        <v>3105226.6</v>
      </c>
      <c r="S21" s="9">
        <f>SUM(S22:S25)</f>
        <v>0</v>
      </c>
      <c r="T21" s="10"/>
    </row>
    <row r="22" spans="1:20" ht="15.75">
      <c r="A22" s="12" t="s">
        <v>15</v>
      </c>
      <c r="B22" s="13" t="s">
        <v>20</v>
      </c>
      <c r="C22" s="14" t="s">
        <v>32</v>
      </c>
      <c r="D22" s="15">
        <v>23222.3</v>
      </c>
      <c r="E22" s="15">
        <f t="shared" si="4"/>
        <v>11562.2</v>
      </c>
      <c r="F22" s="15">
        <v>34784.5</v>
      </c>
      <c r="G22" s="15">
        <v>23424.8</v>
      </c>
      <c r="H22" s="15">
        <f t="shared" si="5"/>
        <v>9572.3</v>
      </c>
      <c r="I22" s="15">
        <v>32997.1</v>
      </c>
      <c r="J22" s="15">
        <v>31738.4</v>
      </c>
      <c r="K22" s="15"/>
      <c r="L22" s="15"/>
      <c r="M22" s="15"/>
      <c r="N22" s="15">
        <f t="shared" si="0"/>
        <v>11562.2</v>
      </c>
      <c r="O22" s="15">
        <f t="shared" si="1"/>
        <v>34784.5</v>
      </c>
      <c r="P22" s="15">
        <f t="shared" si="2"/>
        <v>9572.3</v>
      </c>
      <c r="Q22" s="15">
        <f t="shared" si="3"/>
        <v>32997.1</v>
      </c>
      <c r="R22" s="15">
        <f t="shared" si="3"/>
        <v>31738.4</v>
      </c>
      <c r="S22" s="15"/>
      <c r="T22" s="10"/>
    </row>
    <row r="23" spans="1:20" ht="15.75">
      <c r="A23" s="12" t="s">
        <v>15</v>
      </c>
      <c r="B23" s="13" t="s">
        <v>33</v>
      </c>
      <c r="C23" s="14" t="s">
        <v>34</v>
      </c>
      <c r="D23" s="15">
        <v>885194.5</v>
      </c>
      <c r="E23" s="15">
        <f t="shared" si="4"/>
        <v>-93348.59999999998</v>
      </c>
      <c r="F23" s="15">
        <v>791845.9</v>
      </c>
      <c r="G23" s="15">
        <v>915828.6</v>
      </c>
      <c r="H23" s="15">
        <f t="shared" si="5"/>
        <v>-78917</v>
      </c>
      <c r="I23" s="15">
        <v>836911.6</v>
      </c>
      <c r="J23" s="15">
        <v>836267.7</v>
      </c>
      <c r="K23" s="15">
        <f>-1193.3-89</f>
        <v>-1282.3</v>
      </c>
      <c r="L23" s="15">
        <f>-1193.3-89</f>
        <v>-1282.3</v>
      </c>
      <c r="M23" s="15">
        <f>-1193.3-91</f>
        <v>-1284.3</v>
      </c>
      <c r="N23" s="15">
        <f t="shared" si="0"/>
        <v>-94630.90000000002</v>
      </c>
      <c r="O23" s="15">
        <f t="shared" si="1"/>
        <v>790563.6</v>
      </c>
      <c r="P23" s="15">
        <f t="shared" si="2"/>
        <v>-80199.30000000005</v>
      </c>
      <c r="Q23" s="15">
        <f t="shared" si="3"/>
        <v>835629.2999999999</v>
      </c>
      <c r="R23" s="15">
        <f t="shared" si="3"/>
        <v>834983.3999999999</v>
      </c>
      <c r="S23" s="15"/>
      <c r="T23" s="10"/>
    </row>
    <row r="24" spans="1:20" ht="15.75">
      <c r="A24" s="12" t="s">
        <v>15</v>
      </c>
      <c r="B24" s="13" t="s">
        <v>27</v>
      </c>
      <c r="C24" s="14" t="s">
        <v>35</v>
      </c>
      <c r="D24" s="15">
        <v>2127534.907</v>
      </c>
      <c r="E24" s="15">
        <f t="shared" si="4"/>
        <v>208676.49299999978</v>
      </c>
      <c r="F24" s="15">
        <v>2336211.4</v>
      </c>
      <c r="G24" s="15">
        <v>2454889.0300000003</v>
      </c>
      <c r="H24" s="15">
        <f t="shared" si="5"/>
        <v>-284331.43000000017</v>
      </c>
      <c r="I24" s="15">
        <v>2170557.6</v>
      </c>
      <c r="J24" s="15">
        <v>2091998.9</v>
      </c>
      <c r="K24" s="15">
        <f>-4647.9</f>
        <v>-4647.9</v>
      </c>
      <c r="L24" s="15"/>
      <c r="M24" s="15"/>
      <c r="N24" s="15">
        <f t="shared" si="0"/>
        <v>204028.59299999988</v>
      </c>
      <c r="O24" s="15">
        <f t="shared" si="1"/>
        <v>2331563.5</v>
      </c>
      <c r="P24" s="15">
        <f t="shared" si="2"/>
        <v>-284331.43000000017</v>
      </c>
      <c r="Q24" s="15">
        <f t="shared" si="3"/>
        <v>2170557.6</v>
      </c>
      <c r="R24" s="15">
        <f t="shared" si="3"/>
        <v>2091998.9</v>
      </c>
      <c r="S24" s="15"/>
      <c r="T24" s="10"/>
    </row>
    <row r="25" spans="1:20" ht="15.75">
      <c r="A25" s="12" t="s">
        <v>15</v>
      </c>
      <c r="B25" s="13" t="s">
        <v>36</v>
      </c>
      <c r="C25" s="14" t="s">
        <v>37</v>
      </c>
      <c r="D25" s="15">
        <v>57103.4</v>
      </c>
      <c r="E25" s="15">
        <f t="shared" si="4"/>
        <v>54295.6</v>
      </c>
      <c r="F25" s="15">
        <v>111399</v>
      </c>
      <c r="G25" s="15">
        <v>58889.7</v>
      </c>
      <c r="H25" s="15">
        <f t="shared" si="5"/>
        <v>20441.800000000003</v>
      </c>
      <c r="I25" s="15">
        <v>79331.5</v>
      </c>
      <c r="J25" s="15">
        <v>64731.9</v>
      </c>
      <c r="K25" s="15">
        <f>-126.1</f>
        <v>-126.1</v>
      </c>
      <c r="L25" s="15">
        <f>64172.9-118.6</f>
        <v>64054.3</v>
      </c>
      <c r="M25" s="15">
        <f>81930.2-156.2</f>
        <v>81774</v>
      </c>
      <c r="N25" s="15">
        <f t="shared" si="0"/>
        <v>54169.49999999999</v>
      </c>
      <c r="O25" s="15">
        <f t="shared" si="1"/>
        <v>111272.9</v>
      </c>
      <c r="P25" s="15">
        <f t="shared" si="2"/>
        <v>84496.09999999999</v>
      </c>
      <c r="Q25" s="15">
        <f t="shared" si="3"/>
        <v>143385.8</v>
      </c>
      <c r="R25" s="15">
        <f t="shared" si="3"/>
        <v>146505.9</v>
      </c>
      <c r="S25" s="15"/>
      <c r="T25" s="10"/>
    </row>
    <row r="26" spans="1:20" s="11" customFormat="1" ht="15.75">
      <c r="A26" s="7" t="s">
        <v>17</v>
      </c>
      <c r="B26" s="7" t="s">
        <v>9</v>
      </c>
      <c r="C26" s="8" t="s">
        <v>38</v>
      </c>
      <c r="D26" s="9">
        <f>SUM(D27:D30)</f>
        <v>1681349.2030000002</v>
      </c>
      <c r="E26" s="9">
        <f t="shared" si="4"/>
        <v>180083.2969999998</v>
      </c>
      <c r="F26" s="9">
        <f>SUM(F27:F30)</f>
        <v>1861432.5</v>
      </c>
      <c r="G26" s="9">
        <f>SUM(G27:G30)</f>
        <v>1543615.1469999999</v>
      </c>
      <c r="H26" s="9">
        <f t="shared" si="5"/>
        <v>211156.4530000002</v>
      </c>
      <c r="I26" s="9">
        <f>SUM(I27:I30)</f>
        <v>1754771.6</v>
      </c>
      <c r="J26" s="9">
        <f>SUM(J27:J30)</f>
        <v>1469448.6</v>
      </c>
      <c r="K26" s="9">
        <f>SUM(K27:K30)</f>
        <v>181355.29999999996</v>
      </c>
      <c r="L26" s="9">
        <f>SUM(L27:L30)</f>
        <v>288079.19999999984</v>
      </c>
      <c r="M26" s="9">
        <f>SUM(M27:M30)</f>
        <v>194035</v>
      </c>
      <c r="N26" s="15">
        <f t="shared" si="0"/>
        <v>361438.59699999983</v>
      </c>
      <c r="O26" s="15">
        <f t="shared" si="1"/>
        <v>2042787.8</v>
      </c>
      <c r="P26" s="9">
        <f t="shared" si="2"/>
        <v>499235.65299999993</v>
      </c>
      <c r="Q26" s="9">
        <f t="shared" si="3"/>
        <v>2042850.7999999998</v>
      </c>
      <c r="R26" s="9">
        <f t="shared" si="3"/>
        <v>1663483.6</v>
      </c>
      <c r="S26" s="9">
        <f>SUM(S27:S30)</f>
        <v>0</v>
      </c>
      <c r="T26" s="10"/>
    </row>
    <row r="27" spans="1:20" ht="15.75">
      <c r="A27" s="12" t="s">
        <v>17</v>
      </c>
      <c r="B27" s="13" t="s">
        <v>8</v>
      </c>
      <c r="C27" s="14" t="s">
        <v>39</v>
      </c>
      <c r="D27" s="15">
        <v>277346.3</v>
      </c>
      <c r="E27" s="15">
        <f t="shared" si="4"/>
        <v>114495.40000000002</v>
      </c>
      <c r="F27" s="15">
        <v>391841.7</v>
      </c>
      <c r="G27" s="15">
        <v>248357.1</v>
      </c>
      <c r="H27" s="15">
        <f t="shared" si="5"/>
        <v>108368.80000000002</v>
      </c>
      <c r="I27" s="15">
        <v>356725.9</v>
      </c>
      <c r="J27" s="15">
        <v>233776.1</v>
      </c>
      <c r="K27" s="15">
        <f>-35355-1879.5+1926.5+50000-162.2</f>
        <v>14529.8</v>
      </c>
      <c r="L27" s="15">
        <f>-30662.1+1848.2+111489.5-162.2</f>
        <v>82513.40000000001</v>
      </c>
      <c r="M27" s="15">
        <f>-26086+5100+160908.2</f>
        <v>139922.2</v>
      </c>
      <c r="N27" s="15">
        <f t="shared" si="0"/>
        <v>129025.20000000001</v>
      </c>
      <c r="O27" s="15">
        <f t="shared" si="1"/>
        <v>406371.5</v>
      </c>
      <c r="P27" s="15">
        <f t="shared" si="2"/>
        <v>190882.20000000004</v>
      </c>
      <c r="Q27" s="15">
        <f t="shared" si="3"/>
        <v>439239.30000000005</v>
      </c>
      <c r="R27" s="15">
        <f t="shared" si="3"/>
        <v>373698.30000000005</v>
      </c>
      <c r="S27" s="15"/>
      <c r="T27" s="10"/>
    </row>
    <row r="28" spans="1:20" ht="15.75">
      <c r="A28" s="12" t="s">
        <v>17</v>
      </c>
      <c r="B28" s="13" t="s">
        <v>11</v>
      </c>
      <c r="C28" s="14" t="s">
        <v>40</v>
      </c>
      <c r="D28" s="15">
        <v>454110.05000000005</v>
      </c>
      <c r="E28" s="15">
        <f t="shared" si="4"/>
        <v>-62678.350000000035</v>
      </c>
      <c r="F28" s="15">
        <v>391431.7</v>
      </c>
      <c r="G28" s="15">
        <v>342719</v>
      </c>
      <c r="H28" s="15">
        <f t="shared" si="5"/>
        <v>65307.90000000002</v>
      </c>
      <c r="I28" s="15">
        <v>408026.9</v>
      </c>
      <c r="J28" s="15">
        <v>231300.1</v>
      </c>
      <c r="K28" s="15"/>
      <c r="L28" s="15">
        <f>-554.4</f>
        <v>-554.4</v>
      </c>
      <c r="M28" s="15">
        <f>-540.1-5115.4</f>
        <v>-5655.5</v>
      </c>
      <c r="N28" s="15">
        <f t="shared" si="0"/>
        <v>-62678.350000000035</v>
      </c>
      <c r="O28" s="15">
        <f t="shared" si="1"/>
        <v>391431.7</v>
      </c>
      <c r="P28" s="15">
        <f t="shared" si="2"/>
        <v>64753.5</v>
      </c>
      <c r="Q28" s="15">
        <f t="shared" si="3"/>
        <v>407472.5</v>
      </c>
      <c r="R28" s="15">
        <f t="shared" si="3"/>
        <v>225644.6</v>
      </c>
      <c r="S28" s="15"/>
      <c r="T28" s="10"/>
    </row>
    <row r="29" spans="1:20" ht="15.75">
      <c r="A29" s="12" t="s">
        <v>17</v>
      </c>
      <c r="B29" s="13" t="s">
        <v>13</v>
      </c>
      <c r="C29" s="14" t="s">
        <v>41</v>
      </c>
      <c r="D29" s="15">
        <f>762736.853-100000</f>
        <v>662736.853</v>
      </c>
      <c r="E29" s="15">
        <f t="shared" si="4"/>
        <v>117910.04700000002</v>
      </c>
      <c r="F29" s="15">
        <v>780646.9</v>
      </c>
      <c r="G29" s="15">
        <v>669768.647</v>
      </c>
      <c r="H29" s="15">
        <f t="shared" si="5"/>
        <v>29694.753000000026</v>
      </c>
      <c r="I29" s="15">
        <v>699463.4</v>
      </c>
      <c r="J29" s="15">
        <v>716244.8</v>
      </c>
      <c r="K29" s="15">
        <f>5604.2+1.2+4108.6+97670.4+58500+16275.2+48930+8607.6+44007.7+527.6-16275.2-48930-8607.6-44007.7-527.6-1512.7-698-3690</f>
        <v>159983.69999999998</v>
      </c>
      <c r="L29" s="15">
        <f>4786.6+1.2+4092.1+30000+167601.3+28481.5+44916.4+48661.1+9012.1+43865.1+527.6-28481.5-44916.4-48661.1-9012.1-43865.1-527.6-1648-3675.3</f>
        <v>201157.89999999985</v>
      </c>
      <c r="M29" s="15">
        <f>4882.3+1.2+4174+50000+9012.1+45660.5+527.6-9012.1-45660.5-527.6-1597-2663.5</f>
        <v>54797.00000000001</v>
      </c>
      <c r="N29" s="15">
        <f t="shared" si="0"/>
        <v>277893.747</v>
      </c>
      <c r="O29" s="15">
        <f t="shared" si="1"/>
        <v>940630.6</v>
      </c>
      <c r="P29" s="15">
        <f t="shared" si="2"/>
        <v>230852.65299999982</v>
      </c>
      <c r="Q29" s="15">
        <f t="shared" si="3"/>
        <v>900621.2999999998</v>
      </c>
      <c r="R29" s="15">
        <f t="shared" si="3"/>
        <v>771041.8</v>
      </c>
      <c r="S29" s="15"/>
      <c r="T29" s="10"/>
    </row>
    <row r="30" spans="1:20" ht="15.75">
      <c r="A30" s="12" t="s">
        <v>17</v>
      </c>
      <c r="B30" s="13" t="s">
        <v>17</v>
      </c>
      <c r="C30" s="14" t="s">
        <v>42</v>
      </c>
      <c r="D30" s="15">
        <v>287156</v>
      </c>
      <c r="E30" s="15">
        <f t="shared" si="4"/>
        <v>10356.200000000012</v>
      </c>
      <c r="F30" s="15">
        <v>297512.2</v>
      </c>
      <c r="G30" s="15">
        <v>282770.39999999997</v>
      </c>
      <c r="H30" s="15">
        <f t="shared" si="5"/>
        <v>7785.000000000058</v>
      </c>
      <c r="I30" s="15">
        <v>290555.4</v>
      </c>
      <c r="J30" s="15">
        <v>288127.6</v>
      </c>
      <c r="K30" s="15">
        <f>4819.3+172+273-257.5+267.9-202.5-20.7-44.7+1879.5-44.5</f>
        <v>6841.8</v>
      </c>
      <c r="L30" s="15">
        <f>4819.3+42+403-257.5+296.5-202.5-19.1-74.9-44.5</f>
        <v>4962.3</v>
      </c>
      <c r="M30" s="15">
        <f>4819.3+42+413-257.5+275.9-202.5-19.4-54-45.5</f>
        <v>4971.3</v>
      </c>
      <c r="N30" s="15">
        <f t="shared" si="0"/>
        <v>17198</v>
      </c>
      <c r="O30" s="15">
        <f t="shared" si="1"/>
        <v>304354</v>
      </c>
      <c r="P30" s="15">
        <f t="shared" si="2"/>
        <v>12747.300000000047</v>
      </c>
      <c r="Q30" s="15">
        <f t="shared" si="3"/>
        <v>295517.7</v>
      </c>
      <c r="R30" s="15">
        <f t="shared" si="3"/>
        <v>293098.89999999997</v>
      </c>
      <c r="S30" s="15"/>
      <c r="T30" s="10"/>
    </row>
    <row r="31" spans="1:20" s="11" customFormat="1" ht="15.75">
      <c r="A31" s="7" t="s">
        <v>18</v>
      </c>
      <c r="B31" s="7" t="s">
        <v>9</v>
      </c>
      <c r="C31" s="8" t="s">
        <v>43</v>
      </c>
      <c r="D31" s="9">
        <f>SUM(D32:D33)</f>
        <v>42744.8</v>
      </c>
      <c r="E31" s="9">
        <f t="shared" si="4"/>
        <v>-1013.2000000000044</v>
      </c>
      <c r="F31" s="9">
        <f>SUM(F32:F33)</f>
        <v>41731.6</v>
      </c>
      <c r="G31" s="9">
        <f>SUM(G32:G33)</f>
        <v>42502.1</v>
      </c>
      <c r="H31" s="9">
        <f t="shared" si="5"/>
        <v>-932.2999999999956</v>
      </c>
      <c r="I31" s="9">
        <f>SUM(I32:I33)</f>
        <v>41569.8</v>
      </c>
      <c r="J31" s="9">
        <f>SUM(J32:J33)</f>
        <v>42011.1</v>
      </c>
      <c r="K31" s="9">
        <f>SUM(K32:K33)</f>
        <v>2283.4</v>
      </c>
      <c r="L31" s="9">
        <f>SUM(L32:L33)</f>
        <v>2283.4</v>
      </c>
      <c r="M31" s="9">
        <f>SUM(M32:M33)</f>
        <v>2287.4</v>
      </c>
      <c r="N31" s="15">
        <f t="shared" si="0"/>
        <v>1270.199999999997</v>
      </c>
      <c r="O31" s="15">
        <f t="shared" si="1"/>
        <v>44015</v>
      </c>
      <c r="P31" s="9">
        <f t="shared" si="2"/>
        <v>1351.1000000000058</v>
      </c>
      <c r="Q31" s="9">
        <f t="shared" si="3"/>
        <v>43853.200000000004</v>
      </c>
      <c r="R31" s="9">
        <f t="shared" si="3"/>
        <v>44298.5</v>
      </c>
      <c r="S31" s="9">
        <f>SUM(S32:S33)</f>
        <v>0</v>
      </c>
      <c r="T31" s="10"/>
    </row>
    <row r="32" spans="1:20" ht="31.5">
      <c r="A32" s="12" t="s">
        <v>18</v>
      </c>
      <c r="B32" s="13" t="s">
        <v>13</v>
      </c>
      <c r="C32" s="14" t="s">
        <v>44</v>
      </c>
      <c r="D32" s="15">
        <v>33132</v>
      </c>
      <c r="E32" s="15">
        <f t="shared" si="4"/>
        <v>-1904.5</v>
      </c>
      <c r="F32" s="15">
        <v>31227.5</v>
      </c>
      <c r="G32" s="15">
        <v>32838.1</v>
      </c>
      <c r="H32" s="15">
        <f t="shared" si="5"/>
        <v>-1762.699999999997</v>
      </c>
      <c r="I32" s="15">
        <v>31075.4</v>
      </c>
      <c r="J32" s="15">
        <v>31492.8</v>
      </c>
      <c r="K32" s="15"/>
      <c r="L32" s="15"/>
      <c r="M32" s="15"/>
      <c r="N32" s="15">
        <f t="shared" si="0"/>
        <v>-1904.5</v>
      </c>
      <c r="O32" s="15">
        <f t="shared" si="1"/>
        <v>31227.5</v>
      </c>
      <c r="P32" s="15">
        <f t="shared" si="2"/>
        <v>-1762.699999999997</v>
      </c>
      <c r="Q32" s="15">
        <f t="shared" si="3"/>
        <v>31075.4</v>
      </c>
      <c r="R32" s="15">
        <f t="shared" si="3"/>
        <v>31492.8</v>
      </c>
      <c r="S32" s="15"/>
      <c r="T32" s="10"/>
    </row>
    <row r="33" spans="1:20" ht="15.75">
      <c r="A33" s="12" t="s">
        <v>18</v>
      </c>
      <c r="B33" s="13" t="s">
        <v>17</v>
      </c>
      <c r="C33" s="14" t="s">
        <v>45</v>
      </c>
      <c r="D33" s="15">
        <v>9612.8</v>
      </c>
      <c r="E33" s="15">
        <f t="shared" si="4"/>
        <v>891.3000000000011</v>
      </c>
      <c r="F33" s="15">
        <v>10504.1</v>
      </c>
      <c r="G33" s="15">
        <v>9664</v>
      </c>
      <c r="H33" s="15">
        <f t="shared" si="5"/>
        <v>830.3999999999996</v>
      </c>
      <c r="I33" s="15">
        <v>10494.4</v>
      </c>
      <c r="J33" s="15">
        <v>10518.3</v>
      </c>
      <c r="K33" s="15">
        <f>2105.4+168+10</f>
        <v>2283.4</v>
      </c>
      <c r="L33" s="15">
        <f>2105.4+168+10</f>
        <v>2283.4</v>
      </c>
      <c r="M33" s="15">
        <f>2105.4+172+10</f>
        <v>2287.4</v>
      </c>
      <c r="N33" s="15">
        <f t="shared" si="0"/>
        <v>3174.7000000000007</v>
      </c>
      <c r="O33" s="15">
        <f t="shared" si="1"/>
        <v>12787.5</v>
      </c>
      <c r="P33" s="15">
        <f t="shared" si="2"/>
        <v>3113.7999999999993</v>
      </c>
      <c r="Q33" s="15">
        <f t="shared" si="3"/>
        <v>12777.8</v>
      </c>
      <c r="R33" s="15">
        <f t="shared" si="3"/>
        <v>12805.699999999999</v>
      </c>
      <c r="S33" s="15"/>
      <c r="T33" s="10"/>
    </row>
    <row r="34" spans="1:20" s="11" customFormat="1" ht="15.75">
      <c r="A34" s="7" t="s">
        <v>20</v>
      </c>
      <c r="B34" s="7" t="s">
        <v>9</v>
      </c>
      <c r="C34" s="18" t="s">
        <v>46</v>
      </c>
      <c r="D34" s="9">
        <f>SUM(D35:D38)</f>
        <v>8261993.215</v>
      </c>
      <c r="E34" s="9">
        <f t="shared" si="4"/>
        <v>1511529.4850000013</v>
      </c>
      <c r="F34" s="9">
        <f>SUM(F35:F38)</f>
        <v>9773522.700000001</v>
      </c>
      <c r="G34" s="9">
        <f>SUM(G35:G38)</f>
        <v>8143054.787</v>
      </c>
      <c r="H34" s="9">
        <f t="shared" si="5"/>
        <v>1851326.313</v>
      </c>
      <c r="I34" s="9">
        <f>SUM(I35:I38)</f>
        <v>9994381.1</v>
      </c>
      <c r="J34" s="9">
        <f>SUM(J35:J38)</f>
        <v>10623796</v>
      </c>
      <c r="K34" s="9">
        <f>SUM(K35:K38)</f>
        <v>63872.2</v>
      </c>
      <c r="L34" s="9">
        <f>SUM(L35:L38)</f>
        <v>-3578.1000000000004</v>
      </c>
      <c r="M34" s="9">
        <f>SUM(M35:M38)</f>
        <v>-2697.9000000000005</v>
      </c>
      <c r="N34" s="15">
        <f t="shared" si="0"/>
        <v>1575401.6850000005</v>
      </c>
      <c r="O34" s="15">
        <f t="shared" si="1"/>
        <v>9837394.9</v>
      </c>
      <c r="P34" s="9">
        <f t="shared" si="2"/>
        <v>1847748.2130000005</v>
      </c>
      <c r="Q34" s="9">
        <f t="shared" si="3"/>
        <v>9990803</v>
      </c>
      <c r="R34" s="9">
        <f t="shared" si="3"/>
        <v>10621098.1</v>
      </c>
      <c r="S34" s="9">
        <f>SUM(S35:S38)</f>
        <v>0</v>
      </c>
      <c r="T34" s="10"/>
    </row>
    <row r="35" spans="1:20" ht="15.75">
      <c r="A35" s="12" t="s">
        <v>20</v>
      </c>
      <c r="B35" s="13" t="s">
        <v>8</v>
      </c>
      <c r="C35" s="14" t="s">
        <v>47</v>
      </c>
      <c r="D35" s="15">
        <f>2597020+100000</f>
        <v>2697020</v>
      </c>
      <c r="E35" s="15">
        <f t="shared" si="4"/>
        <v>472709.6000000001</v>
      </c>
      <c r="F35" s="15">
        <v>3169729.6</v>
      </c>
      <c r="G35" s="15">
        <v>2671102.5</v>
      </c>
      <c r="H35" s="15">
        <f t="shared" si="5"/>
        <v>774504.1000000001</v>
      </c>
      <c r="I35" s="15">
        <v>3445606.6</v>
      </c>
      <c r="J35" s="15">
        <v>4049903.9</v>
      </c>
      <c r="K35" s="15">
        <f>-8000-4279.4+205500+165.7+170</f>
        <v>193556.30000000002</v>
      </c>
      <c r="L35" s="15">
        <f>-20026-4274.1+297.7+305.4</f>
        <v>-23696.999999999996</v>
      </c>
      <c r="M35" s="15">
        <f>-4300.8+359+368.3</f>
        <v>-3573.5</v>
      </c>
      <c r="N35" s="15">
        <f t="shared" si="0"/>
        <v>666265.8999999999</v>
      </c>
      <c r="O35" s="15">
        <f t="shared" si="1"/>
        <v>3363285.9</v>
      </c>
      <c r="P35" s="15">
        <f t="shared" si="2"/>
        <v>750807.1000000001</v>
      </c>
      <c r="Q35" s="15">
        <f t="shared" si="3"/>
        <v>3421909.6</v>
      </c>
      <c r="R35" s="15">
        <f t="shared" si="3"/>
        <v>4046330.4</v>
      </c>
      <c r="S35" s="15"/>
      <c r="T35" s="10"/>
    </row>
    <row r="36" spans="1:20" ht="15.75">
      <c r="A36" s="12" t="s">
        <v>20</v>
      </c>
      <c r="B36" s="13" t="s">
        <v>11</v>
      </c>
      <c r="C36" s="14" t="s">
        <v>48</v>
      </c>
      <c r="D36" s="15">
        <v>5205441.614999999</v>
      </c>
      <c r="E36" s="15">
        <f t="shared" si="4"/>
        <v>961233.6850000005</v>
      </c>
      <c r="F36" s="15">
        <v>6166675.3</v>
      </c>
      <c r="G36" s="15">
        <v>5126560.387</v>
      </c>
      <c r="H36" s="15">
        <f t="shared" si="5"/>
        <v>908850.5130000003</v>
      </c>
      <c r="I36" s="15">
        <v>6035410.9</v>
      </c>
      <c r="J36" s="15">
        <v>6076167.5</v>
      </c>
      <c r="K36" s="15">
        <f>1500+70000+4279.4-205500+353.5+119.9+59.1-1797.8-5220.4</f>
        <v>-136206.30000000002</v>
      </c>
      <c r="L36" s="15">
        <f>20026+4274.1+635.1+54.1+33.7-3527.2</f>
        <v>21495.799999999996</v>
      </c>
      <c r="M36" s="15">
        <f>4300.8+765.9+374.7+186.2-3418</f>
        <v>2209.5999999999995</v>
      </c>
      <c r="N36" s="15">
        <f t="shared" si="0"/>
        <v>825027.3850000007</v>
      </c>
      <c r="O36" s="15">
        <f t="shared" si="1"/>
        <v>6030469</v>
      </c>
      <c r="P36" s="15">
        <f t="shared" si="2"/>
        <v>930346.3130000001</v>
      </c>
      <c r="Q36" s="15">
        <f t="shared" si="3"/>
        <v>6056906.7</v>
      </c>
      <c r="R36" s="15">
        <f t="shared" si="3"/>
        <v>6078377.1</v>
      </c>
      <c r="S36" s="15"/>
      <c r="T36" s="10"/>
    </row>
    <row r="37" spans="1:20" ht="15.75">
      <c r="A37" s="12" t="s">
        <v>20</v>
      </c>
      <c r="B37" s="13" t="s">
        <v>20</v>
      </c>
      <c r="C37" s="14" t="s">
        <v>49</v>
      </c>
      <c r="D37" s="15">
        <f>196679.8-4103.9</f>
        <v>192575.9</v>
      </c>
      <c r="E37" s="15">
        <f t="shared" si="4"/>
        <v>25973.399999999994</v>
      </c>
      <c r="F37" s="15">
        <v>218549.3</v>
      </c>
      <c r="G37" s="15">
        <f>200423.6-4120.5</f>
        <v>196303.1</v>
      </c>
      <c r="H37" s="15">
        <f t="shared" si="5"/>
        <v>23071</v>
      </c>
      <c r="I37" s="15">
        <v>219374.1</v>
      </c>
      <c r="J37" s="15">
        <v>221523.2</v>
      </c>
      <c r="K37" s="15">
        <v>127.5</v>
      </c>
      <c r="L37" s="15">
        <v>228.4</v>
      </c>
      <c r="M37" s="15">
        <v>275.3</v>
      </c>
      <c r="N37" s="15">
        <f t="shared" si="0"/>
        <v>26100.899999999994</v>
      </c>
      <c r="O37" s="15">
        <f t="shared" si="1"/>
        <v>218676.8</v>
      </c>
      <c r="P37" s="15">
        <f t="shared" si="2"/>
        <v>23299.399999999994</v>
      </c>
      <c r="Q37" s="15">
        <f t="shared" si="3"/>
        <v>219602.5</v>
      </c>
      <c r="R37" s="15">
        <f t="shared" si="3"/>
        <v>221798.5</v>
      </c>
      <c r="S37" s="15"/>
      <c r="T37" s="10"/>
    </row>
    <row r="38" spans="1:20" ht="15.75">
      <c r="A38" s="12" t="s">
        <v>20</v>
      </c>
      <c r="B38" s="13" t="s">
        <v>27</v>
      </c>
      <c r="C38" s="14" t="s">
        <v>50</v>
      </c>
      <c r="D38" s="15">
        <v>166955.7</v>
      </c>
      <c r="E38" s="15">
        <f t="shared" si="4"/>
        <v>51612.79999999999</v>
      </c>
      <c r="F38" s="15">
        <v>218568.5</v>
      </c>
      <c r="G38" s="15">
        <v>149088.80000000002</v>
      </c>
      <c r="H38" s="15">
        <f t="shared" si="5"/>
        <v>144900.69999999998</v>
      </c>
      <c r="I38" s="15">
        <v>293989.5</v>
      </c>
      <c r="J38" s="15">
        <v>276201.4</v>
      </c>
      <c r="K38" s="15">
        <f>-1427.3-168-10+8000</f>
        <v>6394.7</v>
      </c>
      <c r="L38" s="15">
        <f>-1427.3-168-10</f>
        <v>-1605.3</v>
      </c>
      <c r="M38" s="15">
        <f>-1427.3-172-10</f>
        <v>-1609.3</v>
      </c>
      <c r="N38" s="15">
        <f t="shared" si="0"/>
        <v>58007.5</v>
      </c>
      <c r="O38" s="15">
        <f t="shared" si="1"/>
        <v>224963.2</v>
      </c>
      <c r="P38" s="15">
        <f t="shared" si="2"/>
        <v>143295.4</v>
      </c>
      <c r="Q38" s="15">
        <f t="shared" si="3"/>
        <v>292384.2</v>
      </c>
      <c r="R38" s="15">
        <f t="shared" si="3"/>
        <v>274592.10000000003</v>
      </c>
      <c r="S38" s="15"/>
      <c r="T38" s="10"/>
    </row>
    <row r="39" spans="1:20" s="11" customFormat="1" ht="15.75">
      <c r="A39" s="7" t="s">
        <v>33</v>
      </c>
      <c r="B39" s="7" t="s">
        <v>9</v>
      </c>
      <c r="C39" s="8" t="s">
        <v>51</v>
      </c>
      <c r="D39" s="9">
        <f>SUM(D40:D41)</f>
        <v>603427.6900000001</v>
      </c>
      <c r="E39" s="9">
        <f t="shared" si="4"/>
        <v>111616.20999999996</v>
      </c>
      <c r="F39" s="9">
        <f>SUM(F40:F41)</f>
        <v>715043.9</v>
      </c>
      <c r="G39" s="9">
        <f>SUM(G40:G41)</f>
        <v>611257.223</v>
      </c>
      <c r="H39" s="9">
        <f t="shared" si="5"/>
        <v>305777.277</v>
      </c>
      <c r="I39" s="9">
        <f>SUM(I40:I41)</f>
        <v>917034.5</v>
      </c>
      <c r="J39" s="9">
        <f>SUM(J40:J41)</f>
        <v>597761.2000000001</v>
      </c>
      <c r="K39" s="9">
        <f>SUM(K40:K41)</f>
        <v>-155334.3</v>
      </c>
      <c r="L39" s="9">
        <f>SUM(L40:L41)</f>
        <v>-205888.99999999997</v>
      </c>
      <c r="M39" s="9">
        <f>SUM(M40:M41)</f>
        <v>-58467.3</v>
      </c>
      <c r="N39" s="15">
        <f t="shared" si="0"/>
        <v>-43718.08999999997</v>
      </c>
      <c r="O39" s="15">
        <f t="shared" si="1"/>
        <v>559709.6000000001</v>
      </c>
      <c r="P39" s="9">
        <f t="shared" si="2"/>
        <v>99888.277</v>
      </c>
      <c r="Q39" s="9">
        <f t="shared" si="3"/>
        <v>711145.5</v>
      </c>
      <c r="R39" s="9">
        <f t="shared" si="3"/>
        <v>539293.9</v>
      </c>
      <c r="S39" s="9">
        <f>SUM(S40:S41)</f>
        <v>0</v>
      </c>
      <c r="T39" s="10"/>
    </row>
    <row r="40" spans="1:20" ht="15.75">
      <c r="A40" s="12" t="s">
        <v>33</v>
      </c>
      <c r="B40" s="13" t="s">
        <v>8</v>
      </c>
      <c r="C40" s="14" t="s">
        <v>52</v>
      </c>
      <c r="D40" s="15">
        <v>588442.89</v>
      </c>
      <c r="E40" s="15">
        <f t="shared" si="4"/>
        <v>110179.01000000001</v>
      </c>
      <c r="F40" s="15">
        <v>698621.9</v>
      </c>
      <c r="G40" s="15">
        <v>596204.723</v>
      </c>
      <c r="H40" s="15">
        <f t="shared" si="5"/>
        <v>304407.177</v>
      </c>
      <c r="I40" s="15">
        <v>900611.9</v>
      </c>
      <c r="J40" s="15">
        <v>581304.9</v>
      </c>
      <c r="K40" s="15">
        <f>1849.6+4150.4+2000+957.9+1000-9712.8-1.2-97670.4-58500+647.6+245.6+631+4.2+17.6+38.8+53.9+79.1+16.4</f>
        <v>-154192.3</v>
      </c>
      <c r="L40" s="15">
        <f>-8878.7-1.2-30000-167601.3+647.6+245.6+631+4.2+17.6+38.8+53.9+79.1+16.4</f>
        <v>-204746.99999999997</v>
      </c>
      <c r="M40" s="15">
        <f>-9056.3-1.2-50000+647.6+245.6+631+4.2+17.6+38.8+53.9+79.1+16.4</f>
        <v>-57323.3</v>
      </c>
      <c r="N40" s="15">
        <f t="shared" si="0"/>
        <v>-44013.28999999992</v>
      </c>
      <c r="O40" s="15">
        <f t="shared" si="1"/>
        <v>544429.6000000001</v>
      </c>
      <c r="P40" s="15">
        <f t="shared" si="2"/>
        <v>99660.17700000003</v>
      </c>
      <c r="Q40" s="15">
        <f t="shared" si="3"/>
        <v>695864.9</v>
      </c>
      <c r="R40" s="15">
        <f t="shared" si="3"/>
        <v>523981.60000000003</v>
      </c>
      <c r="S40" s="15"/>
      <c r="T40" s="10"/>
    </row>
    <row r="41" spans="1:20" ht="15.75">
      <c r="A41" s="12" t="s">
        <v>33</v>
      </c>
      <c r="B41" s="13" t="s">
        <v>15</v>
      </c>
      <c r="C41" s="14" t="s">
        <v>53</v>
      </c>
      <c r="D41" s="15">
        <f>10880.9+4103.9</f>
        <v>14984.8</v>
      </c>
      <c r="E41" s="15">
        <f t="shared" si="4"/>
        <v>1437.2000000000007</v>
      </c>
      <c r="F41" s="15">
        <v>16422</v>
      </c>
      <c r="G41" s="15">
        <f>10932+4120.5</f>
        <v>15052.5</v>
      </c>
      <c r="H41" s="15">
        <f t="shared" si="5"/>
        <v>1370.0999999999985</v>
      </c>
      <c r="I41" s="15">
        <v>16422.6</v>
      </c>
      <c r="J41" s="15">
        <v>16456.3</v>
      </c>
      <c r="K41" s="15">
        <f>-1053-89</f>
        <v>-1142</v>
      </c>
      <c r="L41" s="15">
        <f>-1053-89</f>
        <v>-1142</v>
      </c>
      <c r="M41" s="15">
        <f>-1053-91</f>
        <v>-1144</v>
      </c>
      <c r="N41" s="15">
        <f t="shared" si="0"/>
        <v>295.2000000000007</v>
      </c>
      <c r="O41" s="15">
        <f t="shared" si="1"/>
        <v>15280</v>
      </c>
      <c r="P41" s="15">
        <f t="shared" si="2"/>
        <v>228.09999999999854</v>
      </c>
      <c r="Q41" s="15">
        <f t="shared" si="3"/>
        <v>15280.599999999999</v>
      </c>
      <c r="R41" s="15">
        <f t="shared" si="3"/>
        <v>15312.3</v>
      </c>
      <c r="S41" s="15"/>
      <c r="T41" s="10"/>
    </row>
    <row r="42" spans="1:20" s="11" customFormat="1" ht="15.75">
      <c r="A42" s="7" t="s">
        <v>27</v>
      </c>
      <c r="B42" s="7" t="s">
        <v>9</v>
      </c>
      <c r="C42" s="8" t="s">
        <v>54</v>
      </c>
      <c r="D42" s="9">
        <f>SUM(D43:D47)</f>
        <v>1162118.467</v>
      </c>
      <c r="E42" s="9">
        <f t="shared" si="4"/>
        <v>-212164.56699999992</v>
      </c>
      <c r="F42" s="9">
        <f>SUM(F43:F47)</f>
        <v>949953.9</v>
      </c>
      <c r="G42" s="9">
        <f>SUM(G43:G47)</f>
        <v>1183951.2470000002</v>
      </c>
      <c r="H42" s="9">
        <f t="shared" si="5"/>
        <v>-146167.44700000016</v>
      </c>
      <c r="I42" s="9">
        <f>SUM(I43:I47)</f>
        <v>1037783.8</v>
      </c>
      <c r="J42" s="9">
        <f>SUM(J43:J47)</f>
        <v>1125481.5</v>
      </c>
      <c r="K42" s="9">
        <f>SUM(K43:K47)</f>
        <v>0</v>
      </c>
      <c r="L42" s="9">
        <f>SUM(L43:L47)</f>
        <v>0</v>
      </c>
      <c r="M42" s="9">
        <f>SUM(M43:M47)</f>
        <v>0</v>
      </c>
      <c r="N42" s="15">
        <f t="shared" si="0"/>
        <v>-212164.56699999992</v>
      </c>
      <c r="O42" s="15">
        <f t="shared" si="1"/>
        <v>949953.9</v>
      </c>
      <c r="P42" s="9">
        <f t="shared" si="2"/>
        <v>-146167.44700000016</v>
      </c>
      <c r="Q42" s="9">
        <f t="shared" si="3"/>
        <v>1037783.8</v>
      </c>
      <c r="R42" s="9">
        <f t="shared" si="3"/>
        <v>1125481.5</v>
      </c>
      <c r="S42" s="9">
        <f>SUM(S43:S47)</f>
        <v>0</v>
      </c>
      <c r="T42" s="10"/>
    </row>
    <row r="43" spans="1:20" ht="15.75">
      <c r="A43" s="12" t="s">
        <v>27</v>
      </c>
      <c r="B43" s="13" t="s">
        <v>8</v>
      </c>
      <c r="C43" s="14" t="s">
        <v>55</v>
      </c>
      <c r="D43" s="15">
        <v>118584.71100000001</v>
      </c>
      <c r="E43" s="15">
        <f t="shared" si="4"/>
        <v>16151.78899999999</v>
      </c>
      <c r="F43" s="15">
        <v>134736.5</v>
      </c>
      <c r="G43" s="15">
        <v>118705.291</v>
      </c>
      <c r="H43" s="15">
        <f t="shared" si="5"/>
        <v>29138.30900000001</v>
      </c>
      <c r="I43" s="15">
        <v>147843.6</v>
      </c>
      <c r="J43" s="15">
        <v>160788.5</v>
      </c>
      <c r="K43" s="15"/>
      <c r="L43" s="15"/>
      <c r="M43" s="15"/>
      <c r="N43" s="15">
        <f t="shared" si="0"/>
        <v>16151.78899999999</v>
      </c>
      <c r="O43" s="15">
        <f t="shared" si="1"/>
        <v>134736.5</v>
      </c>
      <c r="P43" s="15">
        <f t="shared" si="2"/>
        <v>29138.30900000001</v>
      </c>
      <c r="Q43" s="15">
        <f t="shared" si="3"/>
        <v>147843.6</v>
      </c>
      <c r="R43" s="15">
        <f t="shared" si="3"/>
        <v>160788.5</v>
      </c>
      <c r="S43" s="15"/>
      <c r="T43" s="10"/>
    </row>
    <row r="44" spans="1:20" ht="15.75">
      <c r="A44" s="12" t="s">
        <v>27</v>
      </c>
      <c r="B44" s="13" t="s">
        <v>11</v>
      </c>
      <c r="C44" s="14" t="s">
        <v>56</v>
      </c>
      <c r="D44" s="15">
        <v>315940.431</v>
      </c>
      <c r="E44" s="15">
        <f t="shared" si="4"/>
        <v>104784.26900000003</v>
      </c>
      <c r="F44" s="15">
        <v>420724.7</v>
      </c>
      <c r="G44" s="15">
        <v>315940.431</v>
      </c>
      <c r="H44" s="15">
        <f t="shared" si="5"/>
        <v>140767.46900000004</v>
      </c>
      <c r="I44" s="15">
        <v>456707.9</v>
      </c>
      <c r="J44" s="15">
        <v>496290.7</v>
      </c>
      <c r="K44" s="15"/>
      <c r="L44" s="15"/>
      <c r="M44" s="15"/>
      <c r="N44" s="15">
        <f t="shared" si="0"/>
        <v>104784.26900000003</v>
      </c>
      <c r="O44" s="15">
        <f t="shared" si="1"/>
        <v>420724.7</v>
      </c>
      <c r="P44" s="15">
        <f t="shared" si="2"/>
        <v>140767.46900000004</v>
      </c>
      <c r="Q44" s="15">
        <f t="shared" si="3"/>
        <v>456707.9</v>
      </c>
      <c r="R44" s="15">
        <f t="shared" si="3"/>
        <v>496290.7</v>
      </c>
      <c r="S44" s="15"/>
      <c r="T44" s="10"/>
    </row>
    <row r="45" spans="1:20" ht="15.75">
      <c r="A45" s="12" t="s">
        <v>27</v>
      </c>
      <c r="B45" s="13" t="s">
        <v>15</v>
      </c>
      <c r="C45" s="14" t="s">
        <v>57</v>
      </c>
      <c r="D45" s="15">
        <v>523602.821</v>
      </c>
      <c r="E45" s="15">
        <f t="shared" si="4"/>
        <v>-292287.021</v>
      </c>
      <c r="F45" s="15">
        <v>231315.8</v>
      </c>
      <c r="G45" s="15">
        <v>533868.635</v>
      </c>
      <c r="H45" s="15">
        <f t="shared" si="5"/>
        <v>-280083.53500000003</v>
      </c>
      <c r="I45" s="15">
        <v>253785.1</v>
      </c>
      <c r="J45" s="15">
        <v>275812.7</v>
      </c>
      <c r="K45" s="15"/>
      <c r="L45" s="15"/>
      <c r="M45" s="15"/>
      <c r="N45" s="15">
        <f t="shared" si="0"/>
        <v>-292287.021</v>
      </c>
      <c r="O45" s="15">
        <f t="shared" si="1"/>
        <v>231315.8</v>
      </c>
      <c r="P45" s="15">
        <f t="shared" si="2"/>
        <v>-280083.53500000003</v>
      </c>
      <c r="Q45" s="15">
        <f t="shared" si="3"/>
        <v>253785.1</v>
      </c>
      <c r="R45" s="15">
        <f t="shared" si="3"/>
        <v>275812.7</v>
      </c>
      <c r="S45" s="15"/>
      <c r="T45" s="10"/>
    </row>
    <row r="46" spans="1:20" ht="15.75">
      <c r="A46" s="12" t="s">
        <v>27</v>
      </c>
      <c r="B46" s="13" t="s">
        <v>17</v>
      </c>
      <c r="C46" s="14" t="s">
        <v>58</v>
      </c>
      <c r="D46" s="15">
        <v>117798.109</v>
      </c>
      <c r="E46" s="15">
        <f t="shared" si="4"/>
        <v>6646.191000000006</v>
      </c>
      <c r="F46" s="15">
        <v>124444.3</v>
      </c>
      <c r="G46" s="15">
        <v>117798.109</v>
      </c>
      <c r="H46" s="15">
        <f t="shared" si="5"/>
        <v>19285.290999999997</v>
      </c>
      <c r="I46" s="15">
        <v>137083.4</v>
      </c>
      <c r="J46" s="15">
        <v>146622.3</v>
      </c>
      <c r="K46" s="15"/>
      <c r="L46" s="15"/>
      <c r="M46" s="15"/>
      <c r="N46" s="15">
        <f t="shared" si="0"/>
        <v>6646.191000000006</v>
      </c>
      <c r="O46" s="15">
        <f t="shared" si="1"/>
        <v>124444.3</v>
      </c>
      <c r="P46" s="15">
        <f t="shared" si="2"/>
        <v>19285.290999999997</v>
      </c>
      <c r="Q46" s="15">
        <f t="shared" si="3"/>
        <v>137083.4</v>
      </c>
      <c r="R46" s="15">
        <f t="shared" si="3"/>
        <v>146622.3</v>
      </c>
      <c r="S46" s="15"/>
      <c r="T46" s="10"/>
    </row>
    <row r="47" spans="1:20" ht="15.75">
      <c r="A47" s="12" t="s">
        <v>27</v>
      </c>
      <c r="B47" s="13" t="s">
        <v>27</v>
      </c>
      <c r="C47" s="14" t="s">
        <v>59</v>
      </c>
      <c r="D47" s="15">
        <v>86192.39500000002</v>
      </c>
      <c r="E47" s="15">
        <f t="shared" si="4"/>
        <v>-47459.79500000002</v>
      </c>
      <c r="F47" s="15">
        <v>38732.6</v>
      </c>
      <c r="G47" s="15">
        <v>97638.78100000019</v>
      </c>
      <c r="H47" s="15">
        <f t="shared" si="5"/>
        <v>-55274.98100000019</v>
      </c>
      <c r="I47" s="15">
        <v>42363.8</v>
      </c>
      <c r="J47" s="15">
        <v>45967.3</v>
      </c>
      <c r="K47" s="15"/>
      <c r="L47" s="15"/>
      <c r="M47" s="15"/>
      <c r="N47" s="15">
        <f t="shared" si="0"/>
        <v>-47459.79500000002</v>
      </c>
      <c r="O47" s="15">
        <f t="shared" si="1"/>
        <v>38732.6</v>
      </c>
      <c r="P47" s="15">
        <f t="shared" si="2"/>
        <v>-55274.98100000019</v>
      </c>
      <c r="Q47" s="15">
        <f t="shared" si="3"/>
        <v>42363.8</v>
      </c>
      <c r="R47" s="15">
        <f t="shared" si="3"/>
        <v>45967.3</v>
      </c>
      <c r="S47" s="15"/>
      <c r="T47" s="10"/>
    </row>
    <row r="48" spans="1:20" s="11" customFormat="1" ht="15.75">
      <c r="A48" s="7" t="s">
        <v>60</v>
      </c>
      <c r="B48" s="7" t="s">
        <v>9</v>
      </c>
      <c r="C48" s="8" t="s">
        <v>61</v>
      </c>
      <c r="D48" s="9">
        <f>SUM(D49:D52)</f>
        <v>1602881.2999999998</v>
      </c>
      <c r="E48" s="9">
        <f t="shared" si="4"/>
        <v>966641.6499999999</v>
      </c>
      <c r="F48" s="9">
        <f>SUM(F49:F52)</f>
        <v>2569522.9499999997</v>
      </c>
      <c r="G48" s="9">
        <f>SUM(G49:G52)</f>
        <v>1643715.3999999997</v>
      </c>
      <c r="H48" s="9">
        <f t="shared" si="5"/>
        <v>881799.0000000007</v>
      </c>
      <c r="I48" s="9">
        <f>SUM(I49:I52)</f>
        <v>2525514.4000000004</v>
      </c>
      <c r="J48" s="9">
        <f>SUM(J49:J52)</f>
        <v>2437970.4</v>
      </c>
      <c r="K48" s="9">
        <f>SUM(K49:K52)</f>
        <v>35512.799999999996</v>
      </c>
      <c r="L48" s="9">
        <f>SUM(L49:L52)</f>
        <v>31138.5</v>
      </c>
      <c r="M48" s="9">
        <f>SUM(M49:M52)</f>
        <v>26782.4</v>
      </c>
      <c r="N48" s="15">
        <f t="shared" si="0"/>
        <v>1002154.4499999997</v>
      </c>
      <c r="O48" s="15">
        <f t="shared" si="1"/>
        <v>2605035.7499999995</v>
      </c>
      <c r="P48" s="9">
        <f t="shared" si="2"/>
        <v>912937.5000000007</v>
      </c>
      <c r="Q48" s="9">
        <f t="shared" si="3"/>
        <v>2556652.9000000004</v>
      </c>
      <c r="R48" s="9">
        <f t="shared" si="3"/>
        <v>2464752.8</v>
      </c>
      <c r="S48" s="9">
        <f>SUM(S49:S52)</f>
        <v>0</v>
      </c>
      <c r="T48" s="10"/>
    </row>
    <row r="49" spans="1:20" ht="15.75">
      <c r="A49" s="12" t="s">
        <v>60</v>
      </c>
      <c r="B49" s="13" t="s">
        <v>8</v>
      </c>
      <c r="C49" s="14" t="s">
        <v>62</v>
      </c>
      <c r="D49" s="15">
        <v>34712.1</v>
      </c>
      <c r="E49" s="15">
        <f t="shared" si="4"/>
        <v>4202.700000000004</v>
      </c>
      <c r="F49" s="15">
        <v>38914.8</v>
      </c>
      <c r="G49" s="15">
        <v>35576.4</v>
      </c>
      <c r="H49" s="15">
        <f t="shared" si="5"/>
        <v>4589.5999999999985</v>
      </c>
      <c r="I49" s="15">
        <v>40166</v>
      </c>
      <c r="J49" s="15">
        <v>41417.3</v>
      </c>
      <c r="K49" s="15"/>
      <c r="L49" s="15"/>
      <c r="M49" s="15"/>
      <c r="N49" s="15">
        <f t="shared" si="0"/>
        <v>4202.700000000004</v>
      </c>
      <c r="O49" s="15">
        <f t="shared" si="1"/>
        <v>38914.8</v>
      </c>
      <c r="P49" s="15">
        <f t="shared" si="2"/>
        <v>4589.5999999999985</v>
      </c>
      <c r="Q49" s="15">
        <f t="shared" si="3"/>
        <v>40166</v>
      </c>
      <c r="R49" s="15">
        <f t="shared" si="3"/>
        <v>41417.3</v>
      </c>
      <c r="S49" s="15"/>
      <c r="T49" s="10"/>
    </row>
    <row r="50" spans="1:20" ht="15.75">
      <c r="A50" s="12" t="s">
        <v>60</v>
      </c>
      <c r="B50" s="13" t="s">
        <v>13</v>
      </c>
      <c r="C50" s="14" t="s">
        <v>63</v>
      </c>
      <c r="D50" s="15">
        <v>1125853.7</v>
      </c>
      <c r="E50" s="15">
        <f t="shared" si="4"/>
        <v>961829.45</v>
      </c>
      <c r="F50" s="15">
        <v>2087683.15</v>
      </c>
      <c r="G50" s="15">
        <v>1164153.7</v>
      </c>
      <c r="H50" s="15">
        <f t="shared" si="5"/>
        <v>877561</v>
      </c>
      <c r="I50" s="15">
        <v>2041714.7</v>
      </c>
      <c r="J50" s="15">
        <v>1952726.2</v>
      </c>
      <c r="K50" s="15">
        <f>0.1+24.9+42.6-0.4</f>
        <v>67.19999999999999</v>
      </c>
      <c r="L50" s="15">
        <f>0.3+44.9+80.4-0.4</f>
        <v>125.19999999999999</v>
      </c>
      <c r="M50" s="15">
        <f>0.2+54.1+100.2-4.1</f>
        <v>150.4</v>
      </c>
      <c r="N50" s="15">
        <f t="shared" si="0"/>
        <v>961896.6499999999</v>
      </c>
      <c r="O50" s="15">
        <f t="shared" si="1"/>
        <v>2087750.3499999999</v>
      </c>
      <c r="P50" s="15">
        <f t="shared" si="2"/>
        <v>877686.2</v>
      </c>
      <c r="Q50" s="15">
        <f t="shared" si="3"/>
        <v>2041839.9</v>
      </c>
      <c r="R50" s="15">
        <f t="shared" si="3"/>
        <v>1952876.5999999999</v>
      </c>
      <c r="S50" s="15"/>
      <c r="T50" s="10"/>
    </row>
    <row r="51" spans="1:20" ht="15.75">
      <c r="A51" s="12" t="s">
        <v>60</v>
      </c>
      <c r="B51" s="12" t="s">
        <v>15</v>
      </c>
      <c r="C51" s="14" t="s">
        <v>64</v>
      </c>
      <c r="D51" s="15">
        <v>283108.1</v>
      </c>
      <c r="E51" s="15">
        <f t="shared" si="4"/>
        <v>-5932.899999999965</v>
      </c>
      <c r="F51" s="15">
        <v>277175.2</v>
      </c>
      <c r="G51" s="15">
        <v>283173.6</v>
      </c>
      <c r="H51" s="15">
        <f t="shared" si="5"/>
        <v>-7345.099999999977</v>
      </c>
      <c r="I51" s="15">
        <v>275828.5</v>
      </c>
      <c r="J51" s="15">
        <v>273107.9</v>
      </c>
      <c r="K51" s="15"/>
      <c r="L51" s="15"/>
      <c r="M51" s="15"/>
      <c r="N51" s="15">
        <f t="shared" si="0"/>
        <v>-5932.899999999965</v>
      </c>
      <c r="O51" s="15">
        <f t="shared" si="1"/>
        <v>277175.2</v>
      </c>
      <c r="P51" s="15">
        <f t="shared" si="2"/>
        <v>-7345.099999999977</v>
      </c>
      <c r="Q51" s="15">
        <f t="shared" si="3"/>
        <v>275828.5</v>
      </c>
      <c r="R51" s="15">
        <f t="shared" si="3"/>
        <v>273107.9</v>
      </c>
      <c r="S51" s="15"/>
      <c r="T51" s="10"/>
    </row>
    <row r="52" spans="1:20" ht="15.75">
      <c r="A52" s="12" t="s">
        <v>60</v>
      </c>
      <c r="B52" s="13" t="s">
        <v>18</v>
      </c>
      <c r="C52" s="14" t="s">
        <v>65</v>
      </c>
      <c r="D52" s="15">
        <v>159207.4</v>
      </c>
      <c r="E52" s="15">
        <f t="shared" si="4"/>
        <v>6542.399999999994</v>
      </c>
      <c r="F52" s="15">
        <v>165749.8</v>
      </c>
      <c r="G52" s="15">
        <v>160811.7</v>
      </c>
      <c r="H52" s="15">
        <f t="shared" si="5"/>
        <v>6993.5</v>
      </c>
      <c r="I52" s="15">
        <v>167805.2</v>
      </c>
      <c r="J52" s="15">
        <v>170719</v>
      </c>
      <c r="K52" s="15">
        <f>35355+90.6</f>
        <v>35445.6</v>
      </c>
      <c r="L52" s="15">
        <f>30662.1+351.2</f>
        <v>31013.3</v>
      </c>
      <c r="M52" s="15">
        <f>26086+546</f>
        <v>26632</v>
      </c>
      <c r="N52" s="15">
        <f t="shared" si="0"/>
        <v>41988</v>
      </c>
      <c r="O52" s="15">
        <f t="shared" si="1"/>
        <v>201195.4</v>
      </c>
      <c r="P52" s="15">
        <f t="shared" si="2"/>
        <v>38006.79999999999</v>
      </c>
      <c r="Q52" s="15">
        <f t="shared" si="3"/>
        <v>198818.5</v>
      </c>
      <c r="R52" s="15">
        <f t="shared" si="3"/>
        <v>197351</v>
      </c>
      <c r="S52" s="15"/>
      <c r="T52" s="10"/>
    </row>
    <row r="53" spans="1:20" s="11" customFormat="1" ht="15.75">
      <c r="A53" s="19">
        <v>11</v>
      </c>
      <c r="B53" s="20" t="s">
        <v>9</v>
      </c>
      <c r="C53" s="8" t="s">
        <v>66</v>
      </c>
      <c r="D53" s="9">
        <f>D55+D56+D54</f>
        <v>285132.985</v>
      </c>
      <c r="E53" s="9">
        <f t="shared" si="4"/>
        <v>-2172.6849999999977</v>
      </c>
      <c r="F53" s="9">
        <f>F55+F56+F54</f>
        <v>282960.3</v>
      </c>
      <c r="G53" s="9">
        <f>G55+G56+G54</f>
        <v>287259.913</v>
      </c>
      <c r="H53" s="9">
        <f t="shared" si="5"/>
        <v>-131810.113</v>
      </c>
      <c r="I53" s="9">
        <f>I55+I56+I54</f>
        <v>155449.8</v>
      </c>
      <c r="J53" s="9">
        <f>J55+J56+J54</f>
        <v>74396.9</v>
      </c>
      <c r="K53" s="9">
        <f>K55+K56+K54</f>
        <v>31283</v>
      </c>
      <c r="L53" s="9">
        <f>L55+L56+L54</f>
        <v>7633.8</v>
      </c>
      <c r="M53" s="9">
        <f>M55+M56+M54</f>
        <v>7633.8</v>
      </c>
      <c r="N53" s="15">
        <f t="shared" si="0"/>
        <v>29110.315000000002</v>
      </c>
      <c r="O53" s="15">
        <f t="shared" si="1"/>
        <v>314243.3</v>
      </c>
      <c r="P53" s="9">
        <f t="shared" si="2"/>
        <v>-124176.31300000002</v>
      </c>
      <c r="Q53" s="9">
        <f t="shared" si="3"/>
        <v>163083.59999999998</v>
      </c>
      <c r="R53" s="9">
        <f t="shared" si="3"/>
        <v>82030.7</v>
      </c>
      <c r="S53" s="9">
        <f>S55+S56+S54</f>
        <v>0</v>
      </c>
      <c r="T53" s="10"/>
    </row>
    <row r="54" spans="1:20" ht="15.75">
      <c r="A54" s="21">
        <v>11</v>
      </c>
      <c r="B54" s="13" t="s">
        <v>8</v>
      </c>
      <c r="C54" s="14" t="s">
        <v>67</v>
      </c>
      <c r="D54" s="15">
        <v>26928.300000000003</v>
      </c>
      <c r="E54" s="15">
        <f t="shared" si="4"/>
        <v>19660.1</v>
      </c>
      <c r="F54" s="15">
        <v>46588.4</v>
      </c>
      <c r="G54" s="15">
        <v>27138.699999999997</v>
      </c>
      <c r="H54" s="15">
        <f t="shared" si="5"/>
        <v>-2886.7999999999956</v>
      </c>
      <c r="I54" s="15">
        <v>24251.9</v>
      </c>
      <c r="J54" s="15">
        <v>27339.6</v>
      </c>
      <c r="K54" s="15"/>
      <c r="L54" s="15"/>
      <c r="M54" s="15"/>
      <c r="N54" s="15">
        <f t="shared" si="0"/>
        <v>19660.1</v>
      </c>
      <c r="O54" s="15">
        <f t="shared" si="1"/>
        <v>46588.4</v>
      </c>
      <c r="P54" s="15">
        <f t="shared" si="2"/>
        <v>-2886.7999999999956</v>
      </c>
      <c r="Q54" s="15">
        <f t="shared" si="3"/>
        <v>24251.9</v>
      </c>
      <c r="R54" s="15">
        <f t="shared" si="3"/>
        <v>27339.6</v>
      </c>
      <c r="S54" s="15"/>
      <c r="T54" s="10"/>
    </row>
    <row r="55" spans="1:20" ht="15.75">
      <c r="A55" s="21">
        <v>11</v>
      </c>
      <c r="B55" s="13" t="s">
        <v>11</v>
      </c>
      <c r="C55" s="14" t="s">
        <v>68</v>
      </c>
      <c r="D55" s="15">
        <v>250443.28499999997</v>
      </c>
      <c r="E55" s="15">
        <f t="shared" si="4"/>
        <v>-23127.484999999986</v>
      </c>
      <c r="F55" s="15">
        <v>227315.8</v>
      </c>
      <c r="G55" s="15">
        <v>252327.813</v>
      </c>
      <c r="H55" s="15">
        <f t="shared" si="5"/>
        <v>-130186.01299999999</v>
      </c>
      <c r="I55" s="15">
        <v>122141.8</v>
      </c>
      <c r="J55" s="15">
        <v>37985.2</v>
      </c>
      <c r="K55" s="15">
        <f>25000+5815.2</f>
        <v>30815.2</v>
      </c>
      <c r="L55" s="15">
        <f>7166</f>
        <v>7166</v>
      </c>
      <c r="M55" s="15">
        <f>7166</f>
        <v>7166</v>
      </c>
      <c r="N55" s="15">
        <f t="shared" si="0"/>
        <v>7687.715000000026</v>
      </c>
      <c r="O55" s="15">
        <f t="shared" si="1"/>
        <v>258131</v>
      </c>
      <c r="P55" s="15">
        <f t="shared" si="2"/>
        <v>-123020.01299999999</v>
      </c>
      <c r="Q55" s="15">
        <f t="shared" si="3"/>
        <v>129307.8</v>
      </c>
      <c r="R55" s="15">
        <f t="shared" si="3"/>
        <v>45151.2</v>
      </c>
      <c r="S55" s="15"/>
      <c r="T55" s="10"/>
    </row>
    <row r="56" spans="1:20" ht="15.75">
      <c r="A56" s="21">
        <v>11</v>
      </c>
      <c r="B56" s="13" t="s">
        <v>17</v>
      </c>
      <c r="C56" s="14" t="s">
        <v>69</v>
      </c>
      <c r="D56" s="15">
        <v>7761.4</v>
      </c>
      <c r="E56" s="15">
        <f t="shared" si="4"/>
        <v>1294.7000000000007</v>
      </c>
      <c r="F56" s="15">
        <v>9056.1</v>
      </c>
      <c r="G56" s="15">
        <v>7793.4</v>
      </c>
      <c r="H56" s="15">
        <f t="shared" si="5"/>
        <v>1262.7000000000007</v>
      </c>
      <c r="I56" s="15">
        <v>9056.1</v>
      </c>
      <c r="J56" s="15">
        <v>9072.1</v>
      </c>
      <c r="K56" s="15">
        <f>467.8</f>
        <v>467.8</v>
      </c>
      <c r="L56" s="15">
        <f>467.8</f>
        <v>467.8</v>
      </c>
      <c r="M56" s="15">
        <f>467.8</f>
        <v>467.8</v>
      </c>
      <c r="N56" s="15">
        <f t="shared" si="0"/>
        <v>1762.5</v>
      </c>
      <c r="O56" s="15">
        <f t="shared" si="1"/>
        <v>9523.9</v>
      </c>
      <c r="P56" s="15">
        <f t="shared" si="2"/>
        <v>1730.5</v>
      </c>
      <c r="Q56" s="15">
        <f t="shared" si="3"/>
        <v>9523.9</v>
      </c>
      <c r="R56" s="15">
        <f t="shared" si="3"/>
        <v>9539.9</v>
      </c>
      <c r="S56" s="15"/>
      <c r="T56" s="10"/>
    </row>
    <row r="57" spans="1:20" s="11" customFormat="1" ht="15.75">
      <c r="A57" s="20" t="s">
        <v>70</v>
      </c>
      <c r="B57" s="20" t="s">
        <v>70</v>
      </c>
      <c r="C57" s="8" t="s">
        <v>71</v>
      </c>
      <c r="D57" s="9">
        <v>475076.19999999995</v>
      </c>
      <c r="E57" s="9">
        <f t="shared" si="4"/>
        <v>-475076.19999999995</v>
      </c>
      <c r="F57" s="9"/>
      <c r="G57" s="9">
        <v>986201.7999999999</v>
      </c>
      <c r="H57" s="9">
        <f t="shared" si="5"/>
        <v>-433904.4999999999</v>
      </c>
      <c r="I57" s="9">
        <v>552297.3</v>
      </c>
      <c r="J57" s="9">
        <v>1125093.4</v>
      </c>
      <c r="K57" s="9"/>
      <c r="L57" s="9">
        <v>6724.4</v>
      </c>
      <c r="M57" s="9">
        <v>17391.3</v>
      </c>
      <c r="N57" s="15">
        <f t="shared" si="0"/>
        <v>-475076.19999999995</v>
      </c>
      <c r="O57" s="15">
        <f t="shared" si="1"/>
        <v>0</v>
      </c>
      <c r="P57" s="9">
        <f t="shared" si="2"/>
        <v>-427180.09999999986</v>
      </c>
      <c r="Q57" s="9">
        <f t="shared" si="3"/>
        <v>559021.7000000001</v>
      </c>
      <c r="R57" s="9">
        <f t="shared" si="3"/>
        <v>1142484.7</v>
      </c>
      <c r="S57" s="9"/>
      <c r="T57" s="10"/>
    </row>
    <row r="58" spans="1:20" s="11" customFormat="1" ht="15.75">
      <c r="A58" s="22"/>
      <c r="B58" s="7"/>
      <c r="C58" s="8" t="s">
        <v>72</v>
      </c>
      <c r="D58" s="9">
        <f>D57+D48+D42+D39+D34+D31+D26+D21+D18+D10+D53</f>
        <v>19003023.667</v>
      </c>
      <c r="E58" s="9">
        <f t="shared" si="4"/>
        <v>2481288.8330000043</v>
      </c>
      <c r="F58" s="9">
        <f>F57+F48+F42+F39+F34+F31+F26+F21+F18+F10+F53</f>
        <v>21484312.500000004</v>
      </c>
      <c r="G58" s="9">
        <f>G57+G48+G42+G39+G34+G31+G26+G21+G18+G10+G53</f>
        <v>19724023.846999995</v>
      </c>
      <c r="H58" s="9">
        <f t="shared" si="5"/>
        <v>2367866.453000009</v>
      </c>
      <c r="I58" s="9">
        <f>I57+I48+I42+I39+I34+I31+I26+I21+I18+I10+I53</f>
        <v>22091890.300000004</v>
      </c>
      <c r="J58" s="9">
        <f>J57+J48+J42+J39+J34+J31+J26+J21+J18+J10+J53</f>
        <v>22501866.699999996</v>
      </c>
      <c r="K58" s="9">
        <f>K57+K48+K42+K39+K34+K31+K26+K21+K18+K10+K53</f>
        <v>195148.19999999998</v>
      </c>
      <c r="L58" s="9">
        <f>L57+L48+L42+L39+L34+L31+L26+L21+L18+L10+L53</f>
        <v>213752.69999999984</v>
      </c>
      <c r="M58" s="9">
        <f>M57+M48+M42+M39+M34+M31+M26+M21+M18+M10+M53</f>
        <v>292320.79999999993</v>
      </c>
      <c r="N58" s="15">
        <f>O58-D58</f>
        <v>2676437.0330000035</v>
      </c>
      <c r="O58" s="15">
        <f>F58+K58</f>
        <v>21679460.700000003</v>
      </c>
      <c r="P58" s="9">
        <f>Q58-G58</f>
        <v>2581619.1530000083</v>
      </c>
      <c r="Q58" s="9">
        <f>I58+L58</f>
        <v>22305643.000000004</v>
      </c>
      <c r="R58" s="9">
        <f>J58+M58</f>
        <v>22794187.499999996</v>
      </c>
      <c r="S58" s="9">
        <f>S57+S48+S42+S39+S34+S31+S26+S21+S18+S10+S53</f>
        <v>0</v>
      </c>
      <c r="T58" s="10"/>
    </row>
  </sheetData>
  <sheetProtection/>
  <autoFilter ref="A9:T58"/>
  <mergeCells count="17">
    <mergeCell ref="S8:S9"/>
    <mergeCell ref="G8:G9"/>
    <mergeCell ref="H8:I8"/>
    <mergeCell ref="J8:J9"/>
    <mergeCell ref="K8:M8"/>
    <mergeCell ref="N8:O8"/>
    <mergeCell ref="P8:Q8"/>
    <mergeCell ref="C1:R1"/>
    <mergeCell ref="C2:R2"/>
    <mergeCell ref="C3:R3"/>
    <mergeCell ref="A8:A9"/>
    <mergeCell ref="B8:B9"/>
    <mergeCell ref="C8:C9"/>
    <mergeCell ref="D8:D9"/>
    <mergeCell ref="E8:F8"/>
    <mergeCell ref="A5:R5"/>
    <mergeCell ref="R8:R9"/>
  </mergeCells>
  <printOptions/>
  <pageMargins left="0.7086614173228347" right="0.18" top="0.17" bottom="0.46" header="0.31496062992125984" footer="0.18"/>
  <pageSetup fitToHeight="2" fitToWidth="1" horizontalDpi="600" verticalDpi="600" orientation="portrait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Колышкина Елена Владимировна</cp:lastModifiedBy>
  <cp:lastPrinted>2012-12-20T08:56:29Z</cp:lastPrinted>
  <dcterms:created xsi:type="dcterms:W3CDTF">2012-09-04T09:51:40Z</dcterms:created>
  <dcterms:modified xsi:type="dcterms:W3CDTF">2012-12-20T08:56:31Z</dcterms:modified>
  <cp:category/>
  <cp:version/>
  <cp:contentType/>
  <cp:contentStatus/>
</cp:coreProperties>
</file>