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по ГАДБ" sheetId="1" r:id="rId1"/>
    <sheet name="по источникам" sheetId="2" r:id="rId2"/>
  </sheets>
  <definedNames>
    <definedName name="_xlnm._FilterDatabase" localSheetId="0" hidden="1">'по ГАДБ'!$A$5:$M$458</definedName>
    <definedName name="_xlnm._FilterDatabase" localSheetId="1" hidden="1">'по источникам'!$A$4:$M$457</definedName>
    <definedName name="_xlnm.Print_Titles" localSheetId="0">'по ГАДБ'!$4:$5</definedName>
    <definedName name="_xlnm.Print_Titles" localSheetId="1">'по источникам'!$3:$4</definedName>
    <definedName name="_xlnm.Print_Area" localSheetId="0">'по ГАДБ'!$A$1:$M$506</definedName>
    <definedName name="_xlnm.Print_Area" localSheetId="1">'по источникам'!$A$1:$M$534</definedName>
  </definedNames>
  <calcPr fullCalcOnLoad="1"/>
</workbook>
</file>

<file path=xl/sharedStrings.xml><?xml version="1.0" encoding="utf-8"?>
<sst xmlns="http://schemas.openxmlformats.org/spreadsheetml/2006/main" count="2042" uniqueCount="236">
  <si>
    <t xml:space="preserve">                                                                 Оперативный анализ  поступления доходов за январь 2011 года</t>
  </si>
  <si>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</si>
  <si>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</si>
  <si>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</si>
  <si>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</si>
  <si>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</si>
  <si>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 xml:space="preserve">Факт  на 01.02.2010 г. </t>
  </si>
  <si>
    <t xml:space="preserve">Годовой план на 2011 год </t>
  </si>
  <si>
    <t>План января 2011 года</t>
  </si>
  <si>
    <t xml:space="preserve">Факт с начала года на 01.02.2011г. </t>
  </si>
  <si>
    <t>Отклонение факта отч.пер. от плана января</t>
  </si>
  <si>
    <t>% исполн. плана января</t>
  </si>
  <si>
    <t>% исполн. плана года</t>
  </si>
  <si>
    <t>Отклонение факта 2011 от факта 2010</t>
  </si>
  <si>
    <t>% факта 2011г. к факту 2010г.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</si>
  <si>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</si>
  <si>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</si>
  <si>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</si>
  <si>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</si>
  <si>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</si>
  <si>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</si>
  <si>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</si>
  <si>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</si>
  <si>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</si>
  <si>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</si>
  <si>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</si>
  <si>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</si>
  <si>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</si>
  <si>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</si>
  <si>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</si>
  <si>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</si>
  <si>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1 14 02033 04 0000 410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</si>
  <si>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</si>
  <si>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</si>
  <si>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</si>
  <si>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</si>
  <si>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</si>
  <si>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</si>
  <si>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</si>
  <si>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</si>
  <si>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</si>
  <si>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</si>
  <si>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</si>
  <si>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</si>
  <si>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</si>
  <si>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1 19 04000 04 0000 151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</si>
  <si>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</si>
  <si>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</si>
  <si>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</si>
  <si>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</si>
  <si>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</si>
  <si>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</si>
  <si>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</si>
  <si>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</si>
  <si>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</si>
  <si>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</si>
  <si>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</si>
  <si>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</si>
  <si>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</si>
  <si>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</si>
  <si>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</si>
  <si>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</si>
  <si>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</si>
  <si>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</si>
  <si>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1 18 04010 04 0000 180</t>
  </si>
  <si>
    <t>Доходы бюджетов городских округов от возврата остатков субсидий и субвенций прошлых лет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</si>
  <si>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</si>
  <si>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</si>
  <si>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</si>
  <si>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</si>
  <si>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</si>
  <si>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</si>
  <si>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</si>
  <si>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</si>
  <si>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</si>
  <si>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</si>
  <si>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</si>
  <si>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</si>
  <si>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904</t>
  </si>
  <si>
    <t>Департамент планирования и развития территорий</t>
  </si>
  <si>
    <t>2 07 04000 04 0000 180</t>
  </si>
  <si>
    <t>Прочие безвозмездные поступления (по соглашениям)</t>
  </si>
  <si>
    <t>Архитектурно-планировочное управление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</si>
  <si>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</si>
  <si>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</si>
  <si>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</si>
  <si>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</si>
  <si>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</si>
  <si>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</si>
  <si>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</si>
  <si>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</si>
  <si>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</si>
  <si>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</si>
  <si>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</si>
  <si>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</si>
  <si>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</si>
  <si>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</si>
  <si>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</si>
  <si>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</si>
  <si>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</si>
  <si>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</si>
  <si>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</si>
  <si>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 xml:space="preserve">Прочие безвозмездные поступления (Лукойл)                         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</si>
  <si>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</si>
  <si>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</si>
  <si>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</si>
  <si>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</si>
  <si>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</si>
  <si>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Прочие безвозмездные поступления (Лукойл)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</si>
  <si>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</si>
  <si>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</si>
  <si>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</si>
  <si>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</si>
  <si>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</si>
  <si>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</si>
  <si>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</si>
  <si>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</si>
  <si>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</si>
  <si>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</si>
  <si>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</si>
  <si>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</si>
  <si>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</si>
  <si>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</si>
  <si>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</si>
  <si>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</si>
  <si>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</si>
  <si>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</si>
  <si>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</si>
  <si>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</si>
  <si>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</si>
  <si>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</si>
  <si>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</si>
  <si>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</si>
  <si>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</si>
  <si>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</si>
  <si>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</si>
  <si>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</si>
  <si>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</si>
  <si>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</si>
  <si>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</si>
  <si>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</si>
  <si>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</si>
  <si>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</si>
  <si>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</si>
  <si>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</si>
  <si>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</si>
  <si>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1 05 02000 02 0000 110</t>
  </si>
  <si>
    <t xml:space="preserve">Единый налог на вмененный доход 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</si>
  <si>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</si>
  <si>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</si>
  <si>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</si>
  <si>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</si>
  <si>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</si>
  <si>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</si>
  <si>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</si>
  <si>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</si>
  <si>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</si>
  <si>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</si>
  <si>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</si>
  <si>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</si>
  <si>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</si>
  <si>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</si>
  <si>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</si>
  <si>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</si>
  <si>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</si>
  <si>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</si>
  <si>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</si>
  <si>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</si>
  <si>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</si>
  <si>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1 05 03000 01 0000 110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</si>
  <si>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</si>
  <si>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</si>
  <si>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</si>
  <si>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966-971</t>
  </si>
  <si>
    <t xml:space="preserve">Территориальные избирательные комиссии 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</si>
  <si>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</si>
  <si>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</si>
  <si>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</si>
  <si>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</si>
  <si>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</si>
  <si>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Избирательная комиссия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</si>
  <si>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</si>
  <si>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</si>
  <si>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</si>
  <si>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</si>
  <si>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</si>
  <si>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</si>
  <si>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</si>
  <si>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</si>
  <si>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</si>
  <si>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</si>
  <si>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</si>
  <si>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</si>
  <si>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</si>
  <si>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</si>
  <si>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</si>
  <si>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</si>
  <si>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</si>
  <si>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</si>
  <si>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</si>
  <si>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</si>
  <si>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>ИТОГО НАЛОГОВЫХ И НЕНАЛОГОВЫХ ДОХОДОВ (без учета возврата остатков межбюджетных трансфертов)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</si>
  <si>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</si>
  <si>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</si>
  <si>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ВСЕГО ДОХОДОВ (с учетом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</si>
  <si>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</si>
  <si>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</si>
  <si>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</si>
  <si>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</si>
  <si>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</si>
  <si>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</si>
  <si>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</si>
  <si>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</si>
  <si>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1 11 02032 04 0000 120</t>
  </si>
  <si>
    <t>Доходы от размещения временно свободных средств бюджетов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</si>
  <si>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</si>
  <si>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</si>
  <si>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</si>
  <si>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</si>
  <si>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</si>
  <si>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</si>
  <si>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</si>
  <si>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</si>
  <si>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</si>
  <si>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</si>
  <si>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</si>
  <si>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ВСЕГО ДОХОДОВ ( без учета возвратом остатков МБТ)</t>
  </si>
  <si>
    <t>ВСЕГО ДОХОДОВ ( с у четом возврата остатков МБТ)</t>
  </si>
  <si>
    <t>Приложение 1 к пояснительной записке</t>
  </si>
  <si>
    <t>ВСЕГО ДОХОДОВ                                                                                       (с учетом возврата остатков межбюджетных трансфертов)</t>
  </si>
  <si>
    <t>Оперативный анализ исполнения бюджета города Перми по доходам на 1 февраля 2011 года</t>
  </si>
  <si>
    <t>ВСЕГО ДОХОДОВ                                                                                                                                          (без учета возврата остатков межбюджетных трансфертов)</t>
  </si>
  <si>
    <t>ВСЕГО ДОХОДОВ                                                         (без учета возврата остатков МБТ)</t>
  </si>
  <si>
    <t>БЕЗВОЗМЕЗДНЫЕ ПОСТУПЛЕНИЯ (с учетом возврата остатков МБТ)</t>
  </si>
  <si>
    <t>БЕЗВОЗМЕЗДНЫЕ ПОСТУПЛЕНИЯ (без учета возврата остатков МБТ)</t>
  </si>
  <si>
    <t>ВСЕГО ДОХОДОВ                                                                                                        (с у четом возврата остатков МБТ)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</si>
</sst>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165" fontId="4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4" fillId="0" borderId="10" xfId="43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165" fontId="4" fillId="33" borderId="10" xfId="43" applyNumberFormat="1" applyFont="1" applyFill="1" applyBorder="1" applyAlignment="1">
      <alignment horizontal="right" wrapText="1"/>
    </xf>
    <xf numFmtId="165" fontId="0" fillId="34" borderId="10" xfId="43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top"/>
    </xf>
    <xf numFmtId="0" fontId="0" fillId="0" borderId="0" xfId="0" applyFont="1" applyFill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5" fontId="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top" wrapText="1"/>
    </xf>
    <xf numFmtId="165" fontId="4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65" fontId="9" fillId="35" borderId="10" xfId="43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wrapText="1"/>
    </xf>
    <xf numFmtId="165" fontId="4" fillId="0" borderId="16" xfId="43" applyNumberFormat="1" applyFont="1" applyFill="1" applyBorder="1" applyAlignment="1">
      <alignment horizontal="right" wrapText="1"/>
    </xf>
    <xf numFmtId="165" fontId="0" fillId="0" borderId="16" xfId="0" applyNumberFormat="1" applyFont="1" applyFill="1" applyBorder="1" applyAlignment="1">
      <alignment horizontal="right" wrapText="1"/>
    </xf>
    <xf numFmtId="165" fontId="4" fillId="0" borderId="16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 wrapText="1"/>
    </xf>
    <xf numFmtId="4" fontId="4" fillId="0" borderId="18" xfId="0" applyNumberFormat="1" applyFont="1" applyFill="1" applyBorder="1" applyAlignment="1">
      <alignment wrapText="1"/>
    </xf>
    <xf numFmtId="165" fontId="4" fillId="0" borderId="18" xfId="43" applyNumberFormat="1" applyFont="1" applyFill="1" applyBorder="1" applyAlignment="1">
      <alignment horizontal="right" wrapText="1"/>
    </xf>
    <xf numFmtId="165" fontId="0" fillId="0" borderId="18" xfId="0" applyNumberFormat="1" applyFont="1" applyFill="1" applyBorder="1" applyAlignment="1">
      <alignment horizontal="right" wrapText="1"/>
    </xf>
    <xf numFmtId="165" fontId="4" fillId="0" borderId="18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horizontal="right" wrapText="1"/>
    </xf>
    <xf numFmtId="165" fontId="9" fillId="35" borderId="10" xfId="0" applyNumberFormat="1" applyFont="1" applyFill="1" applyBorder="1" applyAlignment="1">
      <alignment horizontal="right" wrapText="1"/>
    </xf>
    <xf numFmtId="165" fontId="4" fillId="0" borderId="16" xfId="43" applyNumberFormat="1" applyFont="1" applyFill="1" applyBorder="1" applyAlignment="1">
      <alignment horizontal="center" vertical="center" wrapText="1"/>
    </xf>
    <xf numFmtId="165" fontId="4" fillId="0" borderId="11" xfId="43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wrapText="1"/>
    </xf>
    <xf numFmtId="165" fontId="4" fillId="2" borderId="10" xfId="43" applyNumberFormat="1" applyFont="1" applyFill="1" applyBorder="1" applyAlignment="1">
      <alignment horizontal="right" wrapText="1"/>
    </xf>
    <xf numFmtId="165" fontId="4" fillId="2" borderId="10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 wrapText="1"/>
    </xf>
    <xf numFmtId="165" fontId="4" fillId="7" borderId="10" xfId="43" applyNumberFormat="1" applyFont="1" applyFill="1" applyBorder="1" applyAlignment="1">
      <alignment horizontal="right" wrapText="1"/>
    </xf>
    <xf numFmtId="165" fontId="4" fillId="7" borderId="10" xfId="0" applyNumberFormat="1" applyFont="1" applyFill="1" applyBorder="1" applyAlignment="1">
      <alignment/>
    </xf>
    <xf numFmtId="165" fontId="9" fillId="7" borderId="10" xfId="43" applyNumberFormat="1" applyFont="1" applyFill="1" applyBorder="1" applyAlignment="1">
      <alignment horizontal="right" wrapText="1"/>
    </xf>
    <xf numFmtId="165" fontId="9" fillId="7" borderId="10" xfId="0" applyNumberFormat="1" applyFont="1" applyFill="1" applyBorder="1" applyAlignment="1">
      <alignment/>
    </xf>
    <xf numFmtId="165" fontId="9" fillId="2" borderId="10" xfId="43" applyNumberFormat="1" applyFont="1" applyFill="1" applyBorder="1" applyAlignment="1">
      <alignment horizontal="right" wrapText="1"/>
    </xf>
    <xf numFmtId="165" fontId="9" fillId="2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right" wrapText="1"/>
    </xf>
    <xf numFmtId="44" fontId="4" fillId="0" borderId="16" xfId="43" applyFont="1" applyFill="1" applyBorder="1" applyAlignment="1">
      <alignment horizontal="center" vertical="center" wrapText="1"/>
    </xf>
    <xf numFmtId="44" fontId="4" fillId="0" borderId="11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left" wrapText="1"/>
    </xf>
    <xf numFmtId="164" fontId="9" fillId="35" borderId="10" xfId="0" applyNumberFormat="1" applyFont="1" applyFill="1" applyBorder="1" applyAlignment="1">
      <alignment horizontal="left" wrapText="1"/>
    </xf>
    <xf numFmtId="165" fontId="4" fillId="0" borderId="16" xfId="43" applyNumberFormat="1" applyFont="1" applyFill="1" applyBorder="1" applyAlignment="1">
      <alignment horizontal="center" vertical="center" wrapText="1"/>
    </xf>
    <xf numFmtId="165" fontId="4" fillId="0" borderId="11" xfId="43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65" fontId="4" fillId="0" borderId="0" xfId="43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9" fillId="7" borderId="10" xfId="0" applyNumberFormat="1" applyFont="1" applyFill="1" applyBorder="1" applyAlignment="1">
      <alignment horizontal="left" wrapText="1"/>
    </xf>
    <xf numFmtId="164" fontId="9" fillId="2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745"/>
  <sheetViews>
    <sheetView tabSelected="1" view="pageBreakPreview" zoomScale="65" zoomScaleNormal="60" zoomScaleSheetLayoutView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4" sqref="D4:D5"/>
    </sheetView>
  </sheetViews>
  <sheetFormatPr defaultColWidth="15.25390625" defaultRowHeight="15.75"/>
  <cols>
    <col min="1" max="1" width="6.125" style="3" customWidth="1"/>
    <col min="2" max="2" width="16.75390625" style="4" customWidth="1"/>
    <col min="3" max="3" width="17.875" style="5" hidden="1" customWidth="1"/>
    <col min="4" max="4" width="49.875" style="54" customWidth="1"/>
    <col min="5" max="5" width="13.25390625" style="7" customWidth="1"/>
    <col min="6" max="6" width="14.625" style="7" customWidth="1"/>
    <col min="7" max="7" width="14.375" style="7" customWidth="1"/>
    <col min="8" max="8" width="13.50390625" style="7" customWidth="1"/>
    <col min="9" max="9" width="13.875" style="2" customWidth="1"/>
    <col min="10" max="10" width="9.25390625" style="2" customWidth="1"/>
    <col min="11" max="11" width="8.75390625" style="2" customWidth="1"/>
    <col min="12" max="12" width="12.625" style="2" customWidth="1"/>
    <col min="13" max="13" width="12.875" style="2" customWidth="1"/>
    <col min="14" max="16384" width="15.25390625" style="2" customWidth="1"/>
  </cols>
  <sheetData>
    <row r="1" spans="1:13" ht="18" customHeight="1">
      <c r="A1" s="111" t="s">
        <v>228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1" customHeight="1">
      <c r="A2" s="109" t="s">
        <v>230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110"/>
    </row>
    <row r="3" spans="4:13" ht="20.25" customHeight="1">
      <c r="D3" s="6"/>
      <c r="H3" s="8"/>
      <c r="K3" s="9"/>
      <c r="M3" s="9" t="s">
        <v>1</v>
      </c>
    </row>
    <row r="4" spans="1:13" ht="38.25" customHeight="1">
      <c r="A4" s="119" t="s">
        <v>2</v>
      </c>
      <c r="B4" s="120" t="s">
        <v>3</v>
      </c>
      <c r="C4" s="121" t="s">
        <v>4</v>
      </c>
      <c r="D4" s="120" t="s">
        <v>5</v>
      </c>
      <c r="E4" s="117" t="s">
        <v>6</v>
      </c>
      <c r="F4" s="144" t="s">
        <v>7</v>
      </c>
      <c r="G4" s="144" t="s">
        <v>8</v>
      </c>
      <c r="H4" s="144" t="s">
        <v>9</v>
      </c>
      <c r="I4" s="146" t="s">
        <v>10</v>
      </c>
      <c r="J4" s="120" t="s">
        <v>11</v>
      </c>
      <c r="K4" s="148" t="s">
        <v>12</v>
      </c>
      <c r="L4" s="146" t="s">
        <v>13</v>
      </c>
      <c r="M4" s="120" t="s">
        <v>14</v>
      </c>
    </row>
    <row r="5" spans="1:13" ht="37.5" customHeight="1">
      <c r="A5" s="119"/>
      <c r="B5" s="120"/>
      <c r="C5" s="121"/>
      <c r="D5" s="120"/>
      <c r="E5" s="118"/>
      <c r="F5" s="145"/>
      <c r="G5" s="145"/>
      <c r="H5" s="145"/>
      <c r="I5" s="147"/>
      <c r="J5" s="147"/>
      <c r="K5" s="149"/>
      <c r="L5" s="147"/>
      <c r="M5" s="147"/>
    </row>
    <row r="6" spans="1:13" ht="15.75" customHeight="1">
      <c r="A6" s="128" t="s">
        <v>15</v>
      </c>
      <c r="B6" s="130" t="s">
        <v>16</v>
      </c>
      <c r="C6" s="11" t="s">
        <v>17</v>
      </c>
      <c r="D6" s="12" t="s">
        <v>18</v>
      </c>
      <c r="E6" s="13"/>
      <c r="F6" s="14">
        <v>433.9</v>
      </c>
      <c r="G6" s="15"/>
      <c r="H6" s="13"/>
      <c r="I6" s="13">
        <f>H6-G6</f>
        <v>0</v>
      </c>
      <c r="J6" s="13"/>
      <c r="K6" s="13"/>
      <c r="L6" s="13">
        <f>H6-E6</f>
        <v>0</v>
      </c>
      <c r="M6" s="13"/>
    </row>
    <row r="7" spans="1:13" ht="63" customHeight="1" hidden="1">
      <c r="A7" s="142"/>
      <c r="B7" s="142"/>
      <c r="C7" s="16" t="s">
        <v>19</v>
      </c>
      <c r="D7" s="17" t="s">
        <v>20</v>
      </c>
      <c r="E7" s="13"/>
      <c r="F7" s="14"/>
      <c r="G7" s="15"/>
      <c r="H7" s="13"/>
      <c r="I7" s="13">
        <f aca="true" t="shared" si="0" ref="I7:I73">H7-G7</f>
        <v>0</v>
      </c>
      <c r="J7" s="13"/>
      <c r="K7" s="13"/>
      <c r="L7" s="13">
        <f aca="true" t="shared" si="1" ref="L7:L73">H7-E7</f>
        <v>0</v>
      </c>
      <c r="M7" s="13"/>
    </row>
    <row r="8" spans="1:13" ht="15.75">
      <c r="A8" s="142"/>
      <c r="B8" s="142"/>
      <c r="C8" s="18" t="s">
        <v>21</v>
      </c>
      <c r="D8" s="19" t="s">
        <v>22</v>
      </c>
      <c r="E8" s="13">
        <v>30381.4</v>
      </c>
      <c r="F8" s="13">
        <v>420216.8</v>
      </c>
      <c r="G8" s="13">
        <v>25955.4</v>
      </c>
      <c r="H8" s="13">
        <v>23993.34</v>
      </c>
      <c r="I8" s="13">
        <f t="shared" si="0"/>
        <v>-1962.0600000000013</v>
      </c>
      <c r="J8" s="13">
        <f>H8/G8*100</f>
        <v>92.4406481888162</v>
      </c>
      <c r="K8" s="13">
        <f>H8/F8*100</f>
        <v>5.709752680045158</v>
      </c>
      <c r="L8" s="13">
        <f t="shared" si="1"/>
        <v>-6388.060000000001</v>
      </c>
      <c r="M8" s="13">
        <f>H8/E8*100</f>
        <v>78.97378001013777</v>
      </c>
    </row>
    <row r="9" spans="1:13" ht="37.5" customHeight="1">
      <c r="A9" s="142"/>
      <c r="B9" s="142"/>
      <c r="C9" s="18" t="s">
        <v>23</v>
      </c>
      <c r="D9" s="20" t="s">
        <v>24</v>
      </c>
      <c r="E9" s="13"/>
      <c r="F9" s="13">
        <v>3687</v>
      </c>
      <c r="G9" s="13"/>
      <c r="H9" s="13"/>
      <c r="I9" s="13">
        <f t="shared" si="0"/>
        <v>0</v>
      </c>
      <c r="J9" s="13"/>
      <c r="K9" s="13">
        <f>H9/F9*100</f>
        <v>0</v>
      </c>
      <c r="L9" s="13">
        <f t="shared" si="1"/>
        <v>0</v>
      </c>
      <c r="M9" s="13"/>
    </row>
    <row r="10" spans="1:13" ht="40.5" customHeight="1">
      <c r="A10" s="142"/>
      <c r="B10" s="142"/>
      <c r="C10" s="18" t="s">
        <v>25</v>
      </c>
      <c r="D10" s="21" t="s">
        <v>26</v>
      </c>
      <c r="E10" s="13">
        <v>41.7</v>
      </c>
      <c r="F10" s="13"/>
      <c r="G10" s="13"/>
      <c r="H10" s="13">
        <v>44.17</v>
      </c>
      <c r="I10" s="13">
        <f t="shared" si="0"/>
        <v>44.17</v>
      </c>
      <c r="J10" s="13"/>
      <c r="K10" s="13"/>
      <c r="L10" s="13">
        <f t="shared" si="1"/>
        <v>2.469999999999999</v>
      </c>
      <c r="M10" s="13">
        <f>H10/E10*100</f>
        <v>105.92326139088728</v>
      </c>
    </row>
    <row r="11" spans="1:13" ht="37.5" customHeight="1">
      <c r="A11" s="142"/>
      <c r="B11" s="142"/>
      <c r="C11" s="18" t="s">
        <v>27</v>
      </c>
      <c r="D11" s="22" t="s">
        <v>28</v>
      </c>
      <c r="E11" s="13"/>
      <c r="F11" s="13"/>
      <c r="G11" s="13"/>
      <c r="H11" s="13">
        <v>2</v>
      </c>
      <c r="I11" s="13">
        <f t="shared" si="0"/>
        <v>2</v>
      </c>
      <c r="J11" s="13"/>
      <c r="K11" s="13"/>
      <c r="L11" s="13">
        <f t="shared" si="1"/>
        <v>2</v>
      </c>
      <c r="M11" s="13"/>
    </row>
    <row r="12" spans="1:13" ht="63" customHeight="1" hidden="1">
      <c r="A12" s="142"/>
      <c r="B12" s="142"/>
      <c r="C12" s="16" t="s">
        <v>29</v>
      </c>
      <c r="D12" s="23" t="s">
        <v>30</v>
      </c>
      <c r="E12" s="13"/>
      <c r="F12" s="13"/>
      <c r="G12" s="13"/>
      <c r="H12" s="13"/>
      <c r="I12" s="13">
        <f t="shared" si="0"/>
        <v>0</v>
      </c>
      <c r="J12" s="13"/>
      <c r="K12" s="13"/>
      <c r="L12" s="13">
        <f t="shared" si="1"/>
        <v>0</v>
      </c>
      <c r="M12" s="13"/>
    </row>
    <row r="13" spans="1:13" ht="72" customHeight="1">
      <c r="A13" s="142"/>
      <c r="B13" s="142"/>
      <c r="C13" s="16" t="s">
        <v>31</v>
      </c>
      <c r="D13" s="21" t="s">
        <v>32</v>
      </c>
      <c r="E13" s="13">
        <v>11280</v>
      </c>
      <c r="F13" s="13">
        <v>1162983.4</v>
      </c>
      <c r="G13" s="13">
        <v>47100.1</v>
      </c>
      <c r="H13" s="13">
        <v>41569.96</v>
      </c>
      <c r="I13" s="13">
        <f t="shared" si="0"/>
        <v>-5530.139999999999</v>
      </c>
      <c r="J13" s="13">
        <f>H13/G13*100</f>
        <v>88.2587510429914</v>
      </c>
      <c r="K13" s="13">
        <f>H13/F13*100</f>
        <v>3.5744241921251843</v>
      </c>
      <c r="L13" s="13">
        <f t="shared" si="1"/>
        <v>30289.96</v>
      </c>
      <c r="M13" s="13">
        <f>H13/E13*100</f>
        <v>368.52801418439714</v>
      </c>
    </row>
    <row r="14" spans="1:13" ht="47.25" customHeight="1" hidden="1">
      <c r="A14" s="142"/>
      <c r="B14" s="142"/>
      <c r="C14" s="16" t="s">
        <v>33</v>
      </c>
      <c r="D14" s="21" t="s">
        <v>34</v>
      </c>
      <c r="E14" s="13"/>
      <c r="F14" s="13">
        <f>1709.2-1709.2</f>
        <v>0</v>
      </c>
      <c r="G14" s="13"/>
      <c r="H14" s="13"/>
      <c r="I14" s="13">
        <f t="shared" si="0"/>
        <v>0</v>
      </c>
      <c r="J14" s="13"/>
      <c r="K14" s="13"/>
      <c r="L14" s="13">
        <f t="shared" si="1"/>
        <v>0</v>
      </c>
      <c r="M14" s="13"/>
    </row>
    <row r="15" spans="1:13" ht="15.75" hidden="1">
      <c r="A15" s="142"/>
      <c r="B15" s="142"/>
      <c r="C15" s="18" t="s">
        <v>35</v>
      </c>
      <c r="D15" s="20" t="s">
        <v>36</v>
      </c>
      <c r="E15" s="13">
        <f>SUM(E16:E17)</f>
        <v>0</v>
      </c>
      <c r="F15" s="13">
        <f>SUM(F16:F17)</f>
        <v>0</v>
      </c>
      <c r="G15" s="13">
        <f>SUM(G16:G17)</f>
        <v>0</v>
      </c>
      <c r="H15" s="13">
        <f>SUM(H16:H17)</f>
        <v>0</v>
      </c>
      <c r="I15" s="13">
        <f t="shared" si="0"/>
        <v>0</v>
      </c>
      <c r="J15" s="13"/>
      <c r="K15" s="13"/>
      <c r="L15" s="13">
        <f t="shared" si="1"/>
        <v>0</v>
      </c>
      <c r="M15" s="13"/>
    </row>
    <row r="16" spans="1:13" ht="63" customHeight="1" hidden="1">
      <c r="A16" s="142"/>
      <c r="B16" s="142"/>
      <c r="C16" s="16" t="s">
        <v>37</v>
      </c>
      <c r="D16" s="24" t="s">
        <v>38</v>
      </c>
      <c r="E16" s="13"/>
      <c r="F16" s="13"/>
      <c r="G16" s="13"/>
      <c r="H16" s="13"/>
      <c r="I16" s="13">
        <f t="shared" si="0"/>
        <v>0</v>
      </c>
      <c r="J16" s="13"/>
      <c r="K16" s="13"/>
      <c r="L16" s="13">
        <f t="shared" si="1"/>
        <v>0</v>
      </c>
      <c r="M16" s="13"/>
    </row>
    <row r="17" spans="1:13" ht="47.25" customHeight="1" hidden="1">
      <c r="A17" s="142"/>
      <c r="B17" s="142"/>
      <c r="C17" s="16" t="s">
        <v>39</v>
      </c>
      <c r="D17" s="21" t="s">
        <v>40</v>
      </c>
      <c r="E17" s="13"/>
      <c r="F17" s="13"/>
      <c r="G17" s="13"/>
      <c r="H17" s="13"/>
      <c r="I17" s="13">
        <f t="shared" si="0"/>
        <v>0</v>
      </c>
      <c r="J17" s="13"/>
      <c r="K17" s="13"/>
      <c r="L17" s="13">
        <f t="shared" si="1"/>
        <v>0</v>
      </c>
      <c r="M17" s="13" t="e">
        <f>H17/E17*100</f>
        <v>#DIV/0!</v>
      </c>
    </row>
    <row r="18" spans="1:13" ht="15.75">
      <c r="A18" s="142"/>
      <c r="B18" s="142"/>
      <c r="C18" s="18" t="s">
        <v>41</v>
      </c>
      <c r="D18" s="20" t="s">
        <v>42</v>
      </c>
      <c r="E18" s="13"/>
      <c r="F18" s="13"/>
      <c r="G18" s="13"/>
      <c r="H18" s="13">
        <v>-5055.14</v>
      </c>
      <c r="I18" s="13">
        <f t="shared" si="0"/>
        <v>-5055.14</v>
      </c>
      <c r="J18" s="13"/>
      <c r="K18" s="13"/>
      <c r="L18" s="13">
        <f t="shared" si="1"/>
        <v>-5055.14</v>
      </c>
      <c r="M18" s="13"/>
    </row>
    <row r="19" spans="1:13" ht="15.75" customHeight="1" hidden="1">
      <c r="A19" s="142"/>
      <c r="B19" s="142"/>
      <c r="C19" s="18" t="s">
        <v>43</v>
      </c>
      <c r="D19" s="20" t="s">
        <v>44</v>
      </c>
      <c r="E19" s="13"/>
      <c r="F19" s="13"/>
      <c r="G19" s="13"/>
      <c r="H19" s="13"/>
      <c r="I19" s="13">
        <f t="shared" si="0"/>
        <v>0</v>
      </c>
      <c r="J19" s="13"/>
      <c r="K19" s="13"/>
      <c r="L19" s="13">
        <f t="shared" si="1"/>
        <v>0</v>
      </c>
      <c r="M19" s="13"/>
    </row>
    <row r="20" spans="1:13" ht="15.75" customHeight="1" hidden="1">
      <c r="A20" s="142"/>
      <c r="B20" s="142"/>
      <c r="C20" s="18" t="s">
        <v>45</v>
      </c>
      <c r="D20" s="20" t="s">
        <v>46</v>
      </c>
      <c r="F20" s="13"/>
      <c r="G20" s="13"/>
      <c r="H20" s="13"/>
      <c r="I20" s="13">
        <f t="shared" si="0"/>
        <v>0</v>
      </c>
      <c r="J20" s="13"/>
      <c r="K20" s="13"/>
      <c r="M20" s="13">
        <f>H20/E23*100</f>
        <v>0</v>
      </c>
    </row>
    <row r="21" spans="1:13" ht="15.75" hidden="1">
      <c r="A21" s="142"/>
      <c r="B21" s="142"/>
      <c r="C21" s="18" t="s">
        <v>47</v>
      </c>
      <c r="D21" s="20" t="s">
        <v>48</v>
      </c>
      <c r="E21" s="13"/>
      <c r="F21" s="13"/>
      <c r="G21" s="13"/>
      <c r="H21" s="13"/>
      <c r="I21" s="13">
        <f t="shared" si="0"/>
        <v>0</v>
      </c>
      <c r="J21" s="13"/>
      <c r="K21" s="13"/>
      <c r="L21" s="13">
        <f t="shared" si="1"/>
        <v>0</v>
      </c>
      <c r="M21" s="13"/>
    </row>
    <row r="22" spans="1:13" ht="15.75" customHeight="1">
      <c r="A22" s="142"/>
      <c r="B22" s="142"/>
      <c r="C22" s="18" t="s">
        <v>49</v>
      </c>
      <c r="D22" s="20" t="s">
        <v>50</v>
      </c>
      <c r="E22" s="13"/>
      <c r="F22" s="13">
        <v>100</v>
      </c>
      <c r="G22" s="13"/>
      <c r="H22" s="13"/>
      <c r="I22" s="13">
        <f t="shared" si="0"/>
        <v>0</v>
      </c>
      <c r="J22" s="13"/>
      <c r="K22" s="13">
        <f aca="true" t="shared" si="2" ref="K22:K29">H22/F22*100</f>
        <v>0</v>
      </c>
      <c r="L22" s="13">
        <f t="shared" si="1"/>
        <v>0</v>
      </c>
      <c r="M22" s="13"/>
    </row>
    <row r="23" spans="1:13" ht="15.75" customHeight="1">
      <c r="A23" s="142"/>
      <c r="B23" s="142"/>
      <c r="C23" s="18" t="s">
        <v>51</v>
      </c>
      <c r="D23" s="20" t="s">
        <v>46</v>
      </c>
      <c r="E23" s="13">
        <v>-34532.5</v>
      </c>
      <c r="F23" s="13"/>
      <c r="G23" s="13"/>
      <c r="H23" s="13"/>
      <c r="I23" s="13"/>
      <c r="J23" s="13"/>
      <c r="K23" s="13"/>
      <c r="L23" s="13">
        <f>H20-E23</f>
        <v>34532.5</v>
      </c>
      <c r="M23" s="13"/>
    </row>
    <row r="24" spans="1:13" s="28" customFormat="1" ht="15.75">
      <c r="A24" s="142"/>
      <c r="B24" s="142"/>
      <c r="C24" s="25"/>
      <c r="D24" s="26" t="s">
        <v>52</v>
      </c>
      <c r="E24" s="27">
        <f>SUM(E6:E15,E18:E23)</f>
        <v>7170.600000000006</v>
      </c>
      <c r="F24" s="27">
        <f>SUM(F6:F15,F18:F23)</f>
        <v>1587421.0999999999</v>
      </c>
      <c r="G24" s="27">
        <f>SUM(G6:G15,G18:G23)</f>
        <v>73055.5</v>
      </c>
      <c r="H24" s="27">
        <f>SUM(H6:H15,H18:H23)</f>
        <v>60554.33</v>
      </c>
      <c r="I24" s="13">
        <f t="shared" si="0"/>
        <v>-12501.169999999998</v>
      </c>
      <c r="J24" s="13">
        <f>H24/G24*100</f>
        <v>82.88811930655461</v>
      </c>
      <c r="K24" s="27">
        <f t="shared" si="2"/>
        <v>3.814635574643679</v>
      </c>
      <c r="L24" s="13">
        <f t="shared" si="1"/>
        <v>53383.729999999996</v>
      </c>
      <c r="M24" s="13">
        <f>H24/E24*100</f>
        <v>844.4806571277153</v>
      </c>
    </row>
    <row r="25" spans="1:13" ht="15.75">
      <c r="A25" s="142"/>
      <c r="B25" s="142"/>
      <c r="C25" s="18" t="s">
        <v>53</v>
      </c>
      <c r="D25" s="29" t="s">
        <v>54</v>
      </c>
      <c r="E25" s="13">
        <v>15105.3</v>
      </c>
      <c r="F25" s="13">
        <v>2752050.4</v>
      </c>
      <c r="G25" s="13">
        <v>16512.3</v>
      </c>
      <c r="H25" s="13">
        <f>20174.58+2.49</f>
        <v>20177.070000000003</v>
      </c>
      <c r="I25" s="13">
        <f t="shared" si="0"/>
        <v>3664.770000000004</v>
      </c>
      <c r="J25" s="13">
        <f>H25/G25*100</f>
        <v>122.19418251848624</v>
      </c>
      <c r="K25" s="13">
        <f t="shared" si="2"/>
        <v>0.7331649885481749</v>
      </c>
      <c r="L25" s="13">
        <f t="shared" si="1"/>
        <v>5071.770000000004</v>
      </c>
      <c r="M25" s="13">
        <f>H25/E25*100</f>
        <v>133.57609580743187</v>
      </c>
    </row>
    <row r="26" spans="1:13" s="28" customFormat="1" ht="15.75" customHeight="1">
      <c r="A26" s="142"/>
      <c r="B26" s="142"/>
      <c r="C26" s="25"/>
      <c r="D26" s="26" t="s">
        <v>55</v>
      </c>
      <c r="E26" s="27">
        <f>SUM(E25)</f>
        <v>15105.3</v>
      </c>
      <c r="F26" s="27">
        <f>SUM(F25)</f>
        <v>2752050.4</v>
      </c>
      <c r="G26" s="27">
        <f>SUM(G25)</f>
        <v>16512.3</v>
      </c>
      <c r="H26" s="27">
        <f>SUM(H25)</f>
        <v>20177.070000000003</v>
      </c>
      <c r="I26" s="13">
        <f t="shared" si="0"/>
        <v>3664.770000000004</v>
      </c>
      <c r="J26" s="13">
        <f>H26/G26*100</f>
        <v>122.19418251848624</v>
      </c>
      <c r="K26" s="27">
        <f t="shared" si="2"/>
        <v>0.7331649885481749</v>
      </c>
      <c r="L26" s="13">
        <f t="shared" si="1"/>
        <v>5071.770000000004</v>
      </c>
      <c r="M26" s="13">
        <f>H26/E26*100</f>
        <v>133.57609580743187</v>
      </c>
    </row>
    <row r="27" spans="1:13" s="28" customFormat="1" ht="47.25" customHeight="1">
      <c r="A27" s="142"/>
      <c r="B27" s="142"/>
      <c r="C27" s="25"/>
      <c r="D27" s="26" t="s">
        <v>56</v>
      </c>
      <c r="E27" s="27">
        <f>E28-E23</f>
        <v>56808.40000000001</v>
      </c>
      <c r="F27" s="27">
        <f>F28-F23</f>
        <v>4339471.5</v>
      </c>
      <c r="G27" s="27">
        <f>G28-G23</f>
        <v>89567.8</v>
      </c>
      <c r="H27" s="27">
        <f>H28-H23</f>
        <v>80731.40000000001</v>
      </c>
      <c r="I27" s="13">
        <f>H27-G27</f>
        <v>-8836.399999999994</v>
      </c>
      <c r="J27" s="13">
        <f>H27/G27*100</f>
        <v>90.13440097892324</v>
      </c>
      <c r="K27" s="27">
        <f t="shared" si="2"/>
        <v>1.8603970552635272</v>
      </c>
      <c r="L27" s="13">
        <f t="shared" si="1"/>
        <v>23923</v>
      </c>
      <c r="M27" s="13">
        <f>H27/E27*100</f>
        <v>142.1117299554291</v>
      </c>
    </row>
    <row r="28" spans="1:85" s="33" customFormat="1" ht="15.75">
      <c r="A28" s="143"/>
      <c r="B28" s="143"/>
      <c r="C28" s="30"/>
      <c r="D28" s="26" t="s">
        <v>57</v>
      </c>
      <c r="E28" s="27">
        <f>E24+E26</f>
        <v>22275.900000000005</v>
      </c>
      <c r="F28" s="27">
        <f>F24+F26</f>
        <v>4339471.5</v>
      </c>
      <c r="G28" s="27">
        <f>G24+G26</f>
        <v>89567.8</v>
      </c>
      <c r="H28" s="27">
        <f>H24+H26</f>
        <v>80731.40000000001</v>
      </c>
      <c r="I28" s="27">
        <f t="shared" si="0"/>
        <v>-8836.399999999994</v>
      </c>
      <c r="J28" s="27">
        <f>H28/G28*100</f>
        <v>90.13440097892324</v>
      </c>
      <c r="K28" s="27">
        <f t="shared" si="2"/>
        <v>1.8603970552635272</v>
      </c>
      <c r="L28" s="27">
        <f t="shared" si="1"/>
        <v>58455.5</v>
      </c>
      <c r="M28" s="27">
        <f>H28/E28*100</f>
        <v>362.4158844311565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13" ht="37.5" customHeight="1">
      <c r="A29" s="128" t="s">
        <v>58</v>
      </c>
      <c r="B29" s="130" t="s">
        <v>59</v>
      </c>
      <c r="C29" s="18" t="s">
        <v>27</v>
      </c>
      <c r="D29" s="22" t="s">
        <v>28</v>
      </c>
      <c r="E29" s="13"/>
      <c r="F29" s="13">
        <v>2600</v>
      </c>
      <c r="G29" s="13"/>
      <c r="H29" s="13">
        <v>96.62</v>
      </c>
      <c r="I29" s="13">
        <f t="shared" si="0"/>
        <v>96.62</v>
      </c>
      <c r="J29" s="13"/>
      <c r="K29" s="13">
        <f t="shared" si="2"/>
        <v>3.716153846153846</v>
      </c>
      <c r="L29" s="13">
        <f t="shared" si="1"/>
        <v>96.62</v>
      </c>
      <c r="M29" s="13"/>
    </row>
    <row r="30" spans="1:13" ht="31.5" customHeight="1" hidden="1">
      <c r="A30" s="132"/>
      <c r="B30" s="134"/>
      <c r="C30" s="18" t="s">
        <v>25</v>
      </c>
      <c r="D30" s="21" t="s">
        <v>26</v>
      </c>
      <c r="E30" s="13"/>
      <c r="F30" s="13"/>
      <c r="G30" s="13"/>
      <c r="H30" s="13"/>
      <c r="I30" s="13">
        <f t="shared" si="0"/>
        <v>0</v>
      </c>
      <c r="J30" s="13"/>
      <c r="K30" s="13"/>
      <c r="L30" s="13">
        <f t="shared" si="1"/>
        <v>0</v>
      </c>
      <c r="M30" s="13"/>
    </row>
    <row r="31" spans="1:13" ht="15.75">
      <c r="A31" s="132"/>
      <c r="B31" s="134"/>
      <c r="C31" s="18" t="s">
        <v>35</v>
      </c>
      <c r="D31" s="20" t="s">
        <v>36</v>
      </c>
      <c r="E31" s="13">
        <f>SUM(E32:E33)</f>
        <v>59.5</v>
      </c>
      <c r="F31" s="13">
        <f>SUM(F32:F33)</f>
        <v>0</v>
      </c>
      <c r="G31" s="13">
        <f>SUM(G32:G33)</f>
        <v>0</v>
      </c>
      <c r="H31" s="13">
        <f>SUM(H32:H33)</f>
        <v>0</v>
      </c>
      <c r="I31" s="13">
        <f t="shared" si="0"/>
        <v>0</v>
      </c>
      <c r="J31" s="13"/>
      <c r="K31" s="13"/>
      <c r="L31" s="13">
        <f t="shared" si="1"/>
        <v>-59.5</v>
      </c>
      <c r="M31" s="13">
        <f>H31/E31*100</f>
        <v>0</v>
      </c>
    </row>
    <row r="32" spans="1:13" ht="54.75" customHeight="1">
      <c r="A32" s="132"/>
      <c r="B32" s="134"/>
      <c r="C32" s="16" t="s">
        <v>60</v>
      </c>
      <c r="D32" s="21" t="s">
        <v>61</v>
      </c>
      <c r="E32" s="13">
        <v>59.5</v>
      </c>
      <c r="F32" s="13"/>
      <c r="G32" s="13"/>
      <c r="H32" s="13"/>
      <c r="I32" s="13">
        <f t="shared" si="0"/>
        <v>0</v>
      </c>
      <c r="J32" s="13"/>
      <c r="K32" s="13"/>
      <c r="L32" s="13">
        <f t="shared" si="1"/>
        <v>-59.5</v>
      </c>
      <c r="M32" s="13">
        <f>H32/E32*100</f>
        <v>0</v>
      </c>
    </row>
    <row r="33" spans="1:13" ht="47.25" customHeight="1" hidden="1">
      <c r="A33" s="132"/>
      <c r="B33" s="134"/>
      <c r="C33" s="16" t="s">
        <v>62</v>
      </c>
      <c r="D33" s="24" t="s">
        <v>63</v>
      </c>
      <c r="E33" s="13"/>
      <c r="F33" s="13">
        <f>1800-1800</f>
        <v>0</v>
      </c>
      <c r="G33" s="13"/>
      <c r="H33" s="13"/>
      <c r="I33" s="13">
        <f t="shared" si="0"/>
        <v>0</v>
      </c>
      <c r="J33" s="13"/>
      <c r="K33" s="13"/>
      <c r="L33" s="13">
        <f t="shared" si="1"/>
        <v>0</v>
      </c>
      <c r="M33" s="13"/>
    </row>
    <row r="34" spans="1:13" ht="15.75" customHeight="1" hidden="1">
      <c r="A34" s="132"/>
      <c r="B34" s="134"/>
      <c r="C34" s="18" t="s">
        <v>41</v>
      </c>
      <c r="D34" s="20" t="s">
        <v>42</v>
      </c>
      <c r="E34" s="13">
        <v>2601.8</v>
      </c>
      <c r="F34" s="13"/>
      <c r="G34" s="13"/>
      <c r="H34" s="13">
        <v>2583.18</v>
      </c>
      <c r="I34" s="13">
        <f t="shared" si="0"/>
        <v>2583.18</v>
      </c>
      <c r="J34" s="13"/>
      <c r="K34" s="13"/>
      <c r="L34" s="13">
        <f t="shared" si="1"/>
        <v>-18.620000000000346</v>
      </c>
      <c r="M34" s="13">
        <f>H34/E34*100</f>
        <v>99.28434160965483</v>
      </c>
    </row>
    <row r="35" spans="1:13" ht="15.75" customHeight="1" hidden="1">
      <c r="A35" s="132"/>
      <c r="B35" s="134"/>
      <c r="C35" s="18" t="s">
        <v>43</v>
      </c>
      <c r="D35" s="20" t="s">
        <v>44</v>
      </c>
      <c r="E35" s="13"/>
      <c r="F35" s="13"/>
      <c r="G35" s="13"/>
      <c r="H35" s="13"/>
      <c r="I35" s="13">
        <f t="shared" si="0"/>
        <v>0</v>
      </c>
      <c r="J35" s="13"/>
      <c r="K35" s="13"/>
      <c r="L35" s="13">
        <f t="shared" si="1"/>
        <v>0</v>
      </c>
      <c r="M35" s="13"/>
    </row>
    <row r="36" spans="1:13" ht="31.5" customHeight="1" hidden="1">
      <c r="A36" s="132"/>
      <c r="B36" s="134"/>
      <c r="C36" s="18" t="s">
        <v>64</v>
      </c>
      <c r="D36" s="20" t="s">
        <v>65</v>
      </c>
      <c r="E36" s="13"/>
      <c r="F36" s="13"/>
      <c r="G36" s="13"/>
      <c r="H36" s="13"/>
      <c r="I36" s="13">
        <f t="shared" si="0"/>
        <v>0</v>
      </c>
      <c r="J36" s="13"/>
      <c r="K36" s="13"/>
      <c r="L36" s="13">
        <f t="shared" si="1"/>
        <v>0</v>
      </c>
      <c r="M36" s="13"/>
    </row>
    <row r="37" spans="1:13" ht="15.75" customHeight="1" hidden="1">
      <c r="A37" s="132"/>
      <c r="B37" s="134"/>
      <c r="C37" s="18" t="s">
        <v>45</v>
      </c>
      <c r="D37" s="20" t="s">
        <v>46</v>
      </c>
      <c r="E37" s="13"/>
      <c r="F37" s="13"/>
      <c r="G37" s="13"/>
      <c r="H37" s="13"/>
      <c r="I37" s="13">
        <f t="shared" si="0"/>
        <v>0</v>
      </c>
      <c r="J37" s="13"/>
      <c r="K37" s="13"/>
      <c r="L37" s="13">
        <f t="shared" si="1"/>
        <v>0</v>
      </c>
      <c r="M37" s="13"/>
    </row>
    <row r="38" spans="1:13" ht="31.5" customHeight="1" hidden="1">
      <c r="A38" s="132"/>
      <c r="B38" s="134"/>
      <c r="C38" s="18" t="s">
        <v>66</v>
      </c>
      <c r="D38" s="20" t="s">
        <v>67</v>
      </c>
      <c r="E38" s="13"/>
      <c r="F38" s="13"/>
      <c r="G38" s="13"/>
      <c r="H38" s="13"/>
      <c r="I38" s="13">
        <f t="shared" si="0"/>
        <v>0</v>
      </c>
      <c r="J38" s="13"/>
      <c r="K38" s="13"/>
      <c r="L38" s="13">
        <f t="shared" si="1"/>
        <v>0</v>
      </c>
      <c r="M38" s="13"/>
    </row>
    <row r="39" spans="1:13" ht="15.75" customHeight="1">
      <c r="A39" s="132"/>
      <c r="B39" s="134"/>
      <c r="C39" s="18" t="s">
        <v>47</v>
      </c>
      <c r="D39" s="20" t="s">
        <v>68</v>
      </c>
      <c r="E39" s="13"/>
      <c r="F39" s="13">
        <v>8101.5</v>
      </c>
      <c r="G39" s="13"/>
      <c r="H39" s="13"/>
      <c r="I39" s="13">
        <f t="shared" si="0"/>
        <v>0</v>
      </c>
      <c r="J39" s="13"/>
      <c r="K39" s="13"/>
      <c r="L39" s="13">
        <f t="shared" si="1"/>
        <v>0</v>
      </c>
      <c r="M39" s="13"/>
    </row>
    <row r="40" spans="1:13" ht="15.75" customHeight="1" hidden="1">
      <c r="A40" s="132"/>
      <c r="B40" s="134"/>
      <c r="C40" s="18" t="s">
        <v>49</v>
      </c>
      <c r="D40" s="20" t="s">
        <v>50</v>
      </c>
      <c r="E40" s="13"/>
      <c r="F40" s="13"/>
      <c r="G40" s="13"/>
      <c r="H40" s="13"/>
      <c r="I40" s="13">
        <f t="shared" si="0"/>
        <v>0</v>
      </c>
      <c r="J40" s="13"/>
      <c r="K40" s="13"/>
      <c r="L40" s="13">
        <f t="shared" si="1"/>
        <v>0</v>
      </c>
      <c r="M40" s="13"/>
    </row>
    <row r="41" spans="1:13" ht="15.75" customHeight="1" hidden="1">
      <c r="A41" s="132"/>
      <c r="B41" s="134"/>
      <c r="C41" s="18" t="s">
        <v>69</v>
      </c>
      <c r="D41" s="21" t="s">
        <v>70</v>
      </c>
      <c r="E41" s="13"/>
      <c r="F41" s="13"/>
      <c r="G41" s="13"/>
      <c r="H41" s="13">
        <f>195194-195194</f>
        <v>0</v>
      </c>
      <c r="I41" s="13">
        <f t="shared" si="0"/>
        <v>0</v>
      </c>
      <c r="J41" s="13"/>
      <c r="K41" s="13"/>
      <c r="L41" s="13">
        <f t="shared" si="1"/>
        <v>0</v>
      </c>
      <c r="M41" s="13"/>
    </row>
    <row r="42" spans="1:13" ht="15.75" customHeight="1" hidden="1">
      <c r="A42" s="132"/>
      <c r="B42" s="134"/>
      <c r="C42" s="18" t="s">
        <v>51</v>
      </c>
      <c r="D42" s="20" t="s">
        <v>46</v>
      </c>
      <c r="E42" s="13"/>
      <c r="F42" s="13"/>
      <c r="G42" s="13"/>
      <c r="H42" s="13"/>
      <c r="I42" s="13"/>
      <c r="J42" s="13"/>
      <c r="K42" s="13"/>
      <c r="L42" s="13"/>
      <c r="M42" s="13"/>
    </row>
    <row r="43" spans="1:13" s="28" customFormat="1" ht="15.75" customHeight="1">
      <c r="A43" s="132"/>
      <c r="B43" s="134"/>
      <c r="C43" s="36"/>
      <c r="D43" s="26" t="s">
        <v>52</v>
      </c>
      <c r="E43" s="27">
        <f>SUM(E29:E31,E34:E42)</f>
        <v>2661.3</v>
      </c>
      <c r="F43" s="27">
        <f>SUM(F29:F31,F34:F42)</f>
        <v>10701.5</v>
      </c>
      <c r="G43" s="27">
        <f>SUM(G29:G31,G34:G42)</f>
        <v>0</v>
      </c>
      <c r="H43" s="27">
        <f>SUM(H29:H31,H34:H42)</f>
        <v>2679.7999999999997</v>
      </c>
      <c r="I43" s="13">
        <f t="shared" si="0"/>
        <v>2679.7999999999997</v>
      </c>
      <c r="J43" s="13"/>
      <c r="K43" s="27">
        <f>H43/F43*100</f>
        <v>25.041349343549967</v>
      </c>
      <c r="L43" s="13">
        <f t="shared" si="1"/>
        <v>18.499999999999545</v>
      </c>
      <c r="M43" s="13">
        <f>H43/E43*100</f>
        <v>100.695148987337</v>
      </c>
    </row>
    <row r="44" spans="1:13" ht="149.25" customHeight="1">
      <c r="A44" s="132"/>
      <c r="B44" s="134"/>
      <c r="C44" s="37" t="s">
        <v>71</v>
      </c>
      <c r="D44" s="38" t="s">
        <v>72</v>
      </c>
      <c r="E44" s="13">
        <v>35.9</v>
      </c>
      <c r="F44" s="13">
        <f>443+250</f>
        <v>693</v>
      </c>
      <c r="G44" s="13">
        <f>16.2+15.1</f>
        <v>31.299999999999997</v>
      </c>
      <c r="H44" s="13">
        <f>38.4+38.4</f>
        <v>76.8</v>
      </c>
      <c r="I44" s="13">
        <f t="shared" si="0"/>
        <v>45.5</v>
      </c>
      <c r="J44" s="13">
        <f>H44/G44*100</f>
        <v>245.3674121405751</v>
      </c>
      <c r="K44" s="13">
        <f>H44/F44*100</f>
        <v>11.082251082251082</v>
      </c>
      <c r="L44" s="13">
        <f t="shared" si="1"/>
        <v>40.9</v>
      </c>
      <c r="M44" s="13">
        <f>H44/E44*100</f>
        <v>213.92757660167132</v>
      </c>
    </row>
    <row r="45" spans="1:13" ht="15.75" customHeight="1">
      <c r="A45" s="132"/>
      <c r="B45" s="134"/>
      <c r="C45" s="18" t="s">
        <v>73</v>
      </c>
      <c r="D45" s="29" t="s">
        <v>74</v>
      </c>
      <c r="E45" s="39">
        <v>5.3</v>
      </c>
      <c r="F45" s="40"/>
      <c r="G45" s="40"/>
      <c r="H45" s="39">
        <f>-30.65+0.01+2.88+5.43</f>
        <v>-22.33</v>
      </c>
      <c r="I45" s="13">
        <f t="shared" si="0"/>
        <v>-22.33</v>
      </c>
      <c r="J45" s="13"/>
      <c r="K45" s="13"/>
      <c r="L45" s="13">
        <f t="shared" si="1"/>
        <v>-27.63</v>
      </c>
      <c r="M45" s="13">
        <f>H45/E45*100</f>
        <v>-421.3207547169811</v>
      </c>
    </row>
    <row r="46" spans="1:13" ht="15.75" customHeight="1">
      <c r="A46" s="132"/>
      <c r="B46" s="134"/>
      <c r="C46" s="18" t="s">
        <v>35</v>
      </c>
      <c r="D46" s="20" t="s">
        <v>36</v>
      </c>
      <c r="E46" s="13"/>
      <c r="F46" s="13">
        <f>SUM(F47:F47)</f>
        <v>30</v>
      </c>
      <c r="G46" s="13">
        <f>SUM(G47:G47)</f>
        <v>0</v>
      </c>
      <c r="H46" s="13">
        <f>SUM(H47:H47)</f>
        <v>0</v>
      </c>
      <c r="I46" s="13">
        <f t="shared" si="0"/>
        <v>0</v>
      </c>
      <c r="J46" s="13"/>
      <c r="K46" s="13"/>
      <c r="L46" s="13">
        <f t="shared" si="1"/>
        <v>0</v>
      </c>
      <c r="M46" s="13"/>
    </row>
    <row r="47" spans="1:13" ht="15.75" customHeight="1">
      <c r="A47" s="132"/>
      <c r="B47" s="134"/>
      <c r="C47" s="18" t="s">
        <v>75</v>
      </c>
      <c r="D47" s="24" t="s">
        <v>76</v>
      </c>
      <c r="E47" s="13"/>
      <c r="F47" s="13">
        <v>30</v>
      </c>
      <c r="G47" s="13"/>
      <c r="H47" s="13"/>
      <c r="I47" s="13">
        <f t="shared" si="0"/>
        <v>0</v>
      </c>
      <c r="J47" s="13"/>
      <c r="K47" s="13">
        <f>H47/F47*100</f>
        <v>0</v>
      </c>
      <c r="L47" s="13">
        <f t="shared" si="1"/>
        <v>0</v>
      </c>
      <c r="M47" s="13"/>
    </row>
    <row r="48" spans="1:13" ht="15.75" customHeight="1" hidden="1">
      <c r="A48" s="132"/>
      <c r="B48" s="134"/>
      <c r="C48" s="18" t="s">
        <v>47</v>
      </c>
      <c r="D48" s="20" t="s">
        <v>48</v>
      </c>
      <c r="E48" s="13"/>
      <c r="F48" s="13"/>
      <c r="G48" s="13"/>
      <c r="H48" s="13"/>
      <c r="I48" s="13">
        <f t="shared" si="0"/>
        <v>0</v>
      </c>
      <c r="J48" s="13"/>
      <c r="K48" s="13"/>
      <c r="L48" s="13">
        <f t="shared" si="1"/>
        <v>0</v>
      </c>
      <c r="M48" s="13"/>
    </row>
    <row r="49" spans="1:13" s="28" customFormat="1" ht="15.75" customHeight="1">
      <c r="A49" s="132"/>
      <c r="B49" s="134"/>
      <c r="C49" s="36"/>
      <c r="D49" s="26" t="s">
        <v>55</v>
      </c>
      <c r="E49" s="40">
        <f>SUM(E44:E46,E48)</f>
        <v>41.199999999999996</v>
      </c>
      <c r="F49" s="40">
        <f>SUM(F44:F46,F48)</f>
        <v>723</v>
      </c>
      <c r="G49" s="40">
        <f>SUM(G44:G46,G48)</f>
        <v>31.299999999999997</v>
      </c>
      <c r="H49" s="40">
        <f>SUM(H44:H46,H48)</f>
        <v>54.47</v>
      </c>
      <c r="I49" s="13">
        <f t="shared" si="0"/>
        <v>23.17</v>
      </c>
      <c r="J49" s="13">
        <f>H49/G49*100</f>
        <v>174.0255591054313</v>
      </c>
      <c r="K49" s="27">
        <f>H49/F49*100</f>
        <v>7.533886583679114</v>
      </c>
      <c r="L49" s="13">
        <f t="shared" si="1"/>
        <v>13.270000000000003</v>
      </c>
      <c r="M49" s="13">
        <f>H49/E49*100</f>
        <v>132.20873786407768</v>
      </c>
    </row>
    <row r="50" spans="1:13" s="28" customFormat="1" ht="52.5" customHeight="1">
      <c r="A50" s="132"/>
      <c r="B50" s="134"/>
      <c r="C50" s="36"/>
      <c r="D50" s="26" t="s">
        <v>56</v>
      </c>
      <c r="E50" s="40">
        <f>E51-E42</f>
        <v>2702.5</v>
      </c>
      <c r="F50" s="40">
        <f>F51-F42</f>
        <v>11424.5</v>
      </c>
      <c r="G50" s="40">
        <f>G51-G42</f>
        <v>31.299999999999997</v>
      </c>
      <c r="H50" s="40">
        <f>H51-H42</f>
        <v>2734.2699999999995</v>
      </c>
      <c r="I50" s="13">
        <f t="shared" si="0"/>
        <v>2702.9699999999993</v>
      </c>
      <c r="J50" s="13">
        <f>H50/G50*100</f>
        <v>8735.686900958466</v>
      </c>
      <c r="K50" s="27">
        <f>H50/F50*100</f>
        <v>23.93338876974922</v>
      </c>
      <c r="L50" s="13">
        <f t="shared" si="1"/>
        <v>31.769999999999527</v>
      </c>
      <c r="M50" s="13">
        <f>H50/E50*100</f>
        <v>101.1755781683626</v>
      </c>
    </row>
    <row r="51" spans="1:85" s="33" customFormat="1" ht="15.75">
      <c r="A51" s="135"/>
      <c r="B51" s="136"/>
      <c r="C51" s="41"/>
      <c r="D51" s="26" t="s">
        <v>77</v>
      </c>
      <c r="E51" s="27">
        <f>E43+E49</f>
        <v>2702.5</v>
      </c>
      <c r="F51" s="27">
        <f>F43+F49</f>
        <v>11424.5</v>
      </c>
      <c r="G51" s="27">
        <f>G43+G49</f>
        <v>31.299999999999997</v>
      </c>
      <c r="H51" s="27">
        <f>H43+H49</f>
        <v>2734.2699999999995</v>
      </c>
      <c r="I51" s="27">
        <f t="shared" si="0"/>
        <v>2702.9699999999993</v>
      </c>
      <c r="J51" s="27">
        <f>H51/G51*100</f>
        <v>8735.686900958466</v>
      </c>
      <c r="K51" s="27">
        <f>H51/F51*100</f>
        <v>23.93338876974922</v>
      </c>
      <c r="L51" s="27">
        <f t="shared" si="1"/>
        <v>31.769999999999527</v>
      </c>
      <c r="M51" s="27">
        <f>H51/E51*100</f>
        <v>101.1755781683626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</row>
    <row r="52" spans="1:13" ht="78.75" hidden="1">
      <c r="A52" s="128" t="s">
        <v>78</v>
      </c>
      <c r="B52" s="130" t="s">
        <v>79</v>
      </c>
      <c r="C52" s="16" t="s">
        <v>19</v>
      </c>
      <c r="D52" s="17" t="s">
        <v>20</v>
      </c>
      <c r="E52" s="39"/>
      <c r="F52" s="13"/>
      <c r="G52" s="39"/>
      <c r="H52" s="39"/>
      <c r="I52" s="13">
        <f t="shared" si="0"/>
        <v>0</v>
      </c>
      <c r="J52" s="13"/>
      <c r="K52" s="13"/>
      <c r="L52" s="13">
        <f t="shared" si="1"/>
        <v>0</v>
      </c>
      <c r="M52" s="13"/>
    </row>
    <row r="53" spans="1:13" ht="40.5" customHeight="1">
      <c r="A53" s="132"/>
      <c r="B53" s="134"/>
      <c r="C53" s="18" t="s">
        <v>27</v>
      </c>
      <c r="D53" s="22" t="s">
        <v>28</v>
      </c>
      <c r="E53" s="39"/>
      <c r="F53" s="39">
        <v>96</v>
      </c>
      <c r="G53" s="39"/>
      <c r="H53" s="39">
        <v>14.1</v>
      </c>
      <c r="I53" s="13">
        <f t="shared" si="0"/>
        <v>14.1</v>
      </c>
      <c r="J53" s="13"/>
      <c r="K53" s="13">
        <f>H53/F53*100</f>
        <v>14.6875</v>
      </c>
      <c r="L53" s="13">
        <f t="shared" si="1"/>
        <v>14.1</v>
      </c>
      <c r="M53" s="13"/>
    </row>
    <row r="54" spans="1:13" ht="63" hidden="1">
      <c r="A54" s="132"/>
      <c r="B54" s="134"/>
      <c r="C54" s="16" t="s">
        <v>33</v>
      </c>
      <c r="D54" s="21" t="s">
        <v>34</v>
      </c>
      <c r="E54" s="39"/>
      <c r="F54" s="39"/>
      <c r="G54" s="39"/>
      <c r="H54" s="39"/>
      <c r="I54" s="13">
        <f t="shared" si="0"/>
        <v>0</v>
      </c>
      <c r="J54" s="13"/>
      <c r="K54" s="13"/>
      <c r="L54" s="13">
        <f t="shared" si="1"/>
        <v>0</v>
      </c>
      <c r="M54" s="13"/>
    </row>
    <row r="55" spans="1:13" ht="15.75">
      <c r="A55" s="132"/>
      <c r="B55" s="134"/>
      <c r="C55" s="18" t="s">
        <v>35</v>
      </c>
      <c r="D55" s="20" t="s">
        <v>36</v>
      </c>
      <c r="E55" s="13">
        <f>E56</f>
        <v>0</v>
      </c>
      <c r="F55" s="13">
        <f>F56</f>
        <v>0</v>
      </c>
      <c r="G55" s="13">
        <f>G56</f>
        <v>0</v>
      </c>
      <c r="H55" s="13">
        <f>H56</f>
        <v>0.22</v>
      </c>
      <c r="I55" s="13">
        <f t="shared" si="0"/>
        <v>0.22</v>
      </c>
      <c r="J55" s="13"/>
      <c r="K55" s="13"/>
      <c r="L55" s="13">
        <f t="shared" si="1"/>
        <v>0.22</v>
      </c>
      <c r="M55" s="13"/>
    </row>
    <row r="56" spans="1:13" ht="58.5" customHeight="1" hidden="1">
      <c r="A56" s="132"/>
      <c r="B56" s="134"/>
      <c r="C56" s="16" t="s">
        <v>39</v>
      </c>
      <c r="D56" s="21" t="s">
        <v>40</v>
      </c>
      <c r="E56" s="13"/>
      <c r="F56" s="13"/>
      <c r="G56" s="13"/>
      <c r="H56" s="13">
        <v>0.22</v>
      </c>
      <c r="I56" s="13">
        <f t="shared" si="0"/>
        <v>0.22</v>
      </c>
      <c r="J56" s="13"/>
      <c r="K56" s="13"/>
      <c r="L56" s="13">
        <f t="shared" si="1"/>
        <v>0.22</v>
      </c>
      <c r="M56" s="13"/>
    </row>
    <row r="57" spans="1:13" ht="15.75" customHeight="1" hidden="1">
      <c r="A57" s="132"/>
      <c r="B57" s="134"/>
      <c r="C57" s="18" t="s">
        <v>41</v>
      </c>
      <c r="D57" s="20" t="s">
        <v>42</v>
      </c>
      <c r="E57" s="39"/>
      <c r="F57" s="39"/>
      <c r="G57" s="39"/>
      <c r="H57" s="39"/>
      <c r="I57" s="13">
        <f t="shared" si="0"/>
        <v>0</v>
      </c>
      <c r="J57" s="13"/>
      <c r="K57" s="13"/>
      <c r="L57" s="13">
        <f t="shared" si="1"/>
        <v>0</v>
      </c>
      <c r="M57" s="13"/>
    </row>
    <row r="58" spans="1:13" ht="15.75" customHeight="1" hidden="1">
      <c r="A58" s="132"/>
      <c r="B58" s="134"/>
      <c r="C58" s="18" t="s">
        <v>45</v>
      </c>
      <c r="D58" s="20" t="s">
        <v>46</v>
      </c>
      <c r="E58" s="39"/>
      <c r="F58" s="39"/>
      <c r="G58" s="39"/>
      <c r="H58" s="39"/>
      <c r="I58" s="13">
        <f t="shared" si="0"/>
        <v>0</v>
      </c>
      <c r="J58" s="13"/>
      <c r="K58" s="13"/>
      <c r="L58" s="13">
        <f t="shared" si="1"/>
        <v>0</v>
      </c>
      <c r="M58" s="13"/>
    </row>
    <row r="59" spans="1:13" ht="15.75" customHeight="1">
      <c r="A59" s="132"/>
      <c r="B59" s="134"/>
      <c r="C59" s="18" t="s">
        <v>49</v>
      </c>
      <c r="D59" s="20" t="s">
        <v>50</v>
      </c>
      <c r="E59" s="39"/>
      <c r="F59" s="39">
        <v>20</v>
      </c>
      <c r="G59" s="39"/>
      <c r="H59" s="39"/>
      <c r="I59" s="13">
        <f t="shared" si="0"/>
        <v>0</v>
      </c>
      <c r="J59" s="13"/>
      <c r="K59" s="13">
        <f>H59/F59*100</f>
        <v>0</v>
      </c>
      <c r="L59" s="13">
        <f t="shared" si="1"/>
        <v>0</v>
      </c>
      <c r="M59" s="13"/>
    </row>
    <row r="60" spans="1:13" ht="15.75" customHeight="1" hidden="1">
      <c r="A60" s="132"/>
      <c r="B60" s="134"/>
      <c r="C60" s="18" t="s">
        <v>80</v>
      </c>
      <c r="D60" s="20" t="s">
        <v>81</v>
      </c>
      <c r="E60" s="13"/>
      <c r="F60" s="39"/>
      <c r="G60" s="13"/>
      <c r="H60" s="13"/>
      <c r="I60" s="13">
        <f t="shared" si="0"/>
        <v>0</v>
      </c>
      <c r="J60" s="13"/>
      <c r="K60" s="13"/>
      <c r="L60" s="13">
        <f t="shared" si="1"/>
        <v>0</v>
      </c>
      <c r="M60" s="13"/>
    </row>
    <row r="61" spans="1:13" ht="15.75" customHeight="1" hidden="1">
      <c r="A61" s="132"/>
      <c r="B61" s="134"/>
      <c r="C61" s="18" t="s">
        <v>51</v>
      </c>
      <c r="D61" s="20" t="s">
        <v>46</v>
      </c>
      <c r="E61" s="13"/>
      <c r="F61" s="39"/>
      <c r="G61" s="13"/>
      <c r="H61" s="13"/>
      <c r="I61" s="13"/>
      <c r="J61" s="13"/>
      <c r="K61" s="13"/>
      <c r="L61" s="13"/>
      <c r="M61" s="13"/>
    </row>
    <row r="62" spans="1:13" s="28" customFormat="1" ht="15.75">
      <c r="A62" s="132"/>
      <c r="B62" s="134"/>
      <c r="C62" s="25"/>
      <c r="D62" s="26" t="s">
        <v>52</v>
      </c>
      <c r="E62" s="27">
        <f>SUM(E52:E55,E57:E61)</f>
        <v>0</v>
      </c>
      <c r="F62" s="27">
        <f>SUM(F52:F55,F57:F61)</f>
        <v>116</v>
      </c>
      <c r="G62" s="27">
        <f>SUM(G52:G55,G57:G61)</f>
        <v>0</v>
      </c>
      <c r="H62" s="27">
        <f>SUM(H52:H55,H57:H61)</f>
        <v>14.32</v>
      </c>
      <c r="I62" s="13">
        <f>H62-G62</f>
        <v>14.32</v>
      </c>
      <c r="J62" s="13"/>
      <c r="K62" s="27">
        <f aca="true" t="shared" si="3" ref="K62:K67">H62/F62*100</f>
        <v>12.344827586206897</v>
      </c>
      <c r="L62" s="13">
        <f t="shared" si="1"/>
        <v>14.32</v>
      </c>
      <c r="M62" s="13"/>
    </row>
    <row r="63" spans="1:13" ht="15.75">
      <c r="A63" s="132"/>
      <c r="B63" s="134"/>
      <c r="C63" s="18" t="s">
        <v>35</v>
      </c>
      <c r="D63" s="20" t="s">
        <v>36</v>
      </c>
      <c r="E63" s="13">
        <f>E64</f>
        <v>263.3</v>
      </c>
      <c r="F63" s="13">
        <f>F64</f>
        <v>1500</v>
      </c>
      <c r="G63" s="13">
        <f>G64</f>
        <v>80</v>
      </c>
      <c r="H63" s="13">
        <f>H64</f>
        <v>30.03</v>
      </c>
      <c r="I63" s="13">
        <f t="shared" si="0"/>
        <v>-49.97</v>
      </c>
      <c r="J63" s="13">
        <f>H63/G63*100</f>
        <v>37.5375</v>
      </c>
      <c r="K63" s="13">
        <f t="shared" si="3"/>
        <v>2.002</v>
      </c>
      <c r="L63" s="13">
        <f t="shared" si="1"/>
        <v>-233.27</v>
      </c>
      <c r="M63" s="13">
        <f>H63/E63*100</f>
        <v>11.405241169768326</v>
      </c>
    </row>
    <row r="64" spans="1:13" ht="31.5" customHeight="1">
      <c r="A64" s="132"/>
      <c r="B64" s="134"/>
      <c r="C64" s="16" t="s">
        <v>39</v>
      </c>
      <c r="D64" s="21" t="s">
        <v>40</v>
      </c>
      <c r="E64" s="13">
        <v>263.3</v>
      </c>
      <c r="F64" s="13">
        <v>1500</v>
      </c>
      <c r="G64" s="13">
        <v>80</v>
      </c>
      <c r="H64" s="13">
        <v>30.03</v>
      </c>
      <c r="I64" s="13">
        <f t="shared" si="0"/>
        <v>-49.97</v>
      </c>
      <c r="J64" s="13">
        <f>H64/G64*100</f>
        <v>37.5375</v>
      </c>
      <c r="K64" s="13">
        <f t="shared" si="3"/>
        <v>2.002</v>
      </c>
      <c r="L64" s="13">
        <f t="shared" si="1"/>
        <v>-233.27</v>
      </c>
      <c r="M64" s="13">
        <f>H64/E64*100</f>
        <v>11.405241169768326</v>
      </c>
    </row>
    <row r="65" spans="1:13" s="28" customFormat="1" ht="15.75">
      <c r="A65" s="132"/>
      <c r="B65" s="134"/>
      <c r="C65" s="25"/>
      <c r="D65" s="26" t="s">
        <v>55</v>
      </c>
      <c r="E65" s="27">
        <f>SUM(E63)</f>
        <v>263.3</v>
      </c>
      <c r="F65" s="27">
        <f>SUM(F63)</f>
        <v>1500</v>
      </c>
      <c r="G65" s="27">
        <f>SUM(G63)</f>
        <v>80</v>
      </c>
      <c r="H65" s="27">
        <f>SUM(H63)</f>
        <v>30.03</v>
      </c>
      <c r="I65" s="13">
        <f t="shared" si="0"/>
        <v>-49.97</v>
      </c>
      <c r="J65" s="13">
        <f>H65/G65*100</f>
        <v>37.5375</v>
      </c>
      <c r="K65" s="27">
        <f t="shared" si="3"/>
        <v>2.002</v>
      </c>
      <c r="L65" s="13">
        <f t="shared" si="1"/>
        <v>-233.27</v>
      </c>
      <c r="M65" s="13">
        <f>H65/E65*100</f>
        <v>11.405241169768326</v>
      </c>
    </row>
    <row r="66" spans="1:13" s="28" customFormat="1" ht="47.25">
      <c r="A66" s="34"/>
      <c r="B66" s="35"/>
      <c r="C66" s="25"/>
      <c r="D66" s="26" t="s">
        <v>56</v>
      </c>
      <c r="E66" s="27">
        <f>E67-E61</f>
        <v>263.3</v>
      </c>
      <c r="F66" s="27">
        <f>F67-F61</f>
        <v>1616</v>
      </c>
      <c r="G66" s="27">
        <f>G67-G61</f>
        <v>80</v>
      </c>
      <c r="H66" s="27">
        <f>H67-H61</f>
        <v>44.35</v>
      </c>
      <c r="I66" s="13">
        <f t="shared" si="0"/>
        <v>-35.65</v>
      </c>
      <c r="J66" s="13">
        <f>H66/G66*100</f>
        <v>55.43750000000001</v>
      </c>
      <c r="K66" s="27">
        <f t="shared" si="3"/>
        <v>2.7444306930693068</v>
      </c>
      <c r="L66" s="13">
        <f t="shared" si="1"/>
        <v>-218.95000000000002</v>
      </c>
      <c r="M66" s="13">
        <f>H66/E66*100</f>
        <v>16.84390429168249</v>
      </c>
    </row>
    <row r="67" spans="1:85" s="33" customFormat="1" ht="15.75">
      <c r="A67" s="42"/>
      <c r="B67" s="42"/>
      <c r="C67" s="30"/>
      <c r="D67" s="26" t="s">
        <v>77</v>
      </c>
      <c r="E67" s="27">
        <f>E62+E65</f>
        <v>263.3</v>
      </c>
      <c r="F67" s="27">
        <f>F62+F65</f>
        <v>1616</v>
      </c>
      <c r="G67" s="27">
        <f>G62+G65</f>
        <v>80</v>
      </c>
      <c r="H67" s="27">
        <f>H62+H65</f>
        <v>44.35</v>
      </c>
      <c r="I67" s="27">
        <f t="shared" si="0"/>
        <v>-35.65</v>
      </c>
      <c r="J67" s="27">
        <f>H67/G67*100</f>
        <v>55.43750000000001</v>
      </c>
      <c r="K67" s="27">
        <f t="shared" si="3"/>
        <v>2.7444306930693068</v>
      </c>
      <c r="L67" s="27">
        <f t="shared" si="1"/>
        <v>-218.95000000000002</v>
      </c>
      <c r="M67" s="27">
        <f>H67/E67*100</f>
        <v>16.84390429168249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</row>
    <row r="68" spans="1:13" s="28" customFormat="1" ht="15.75" customHeight="1" hidden="1">
      <c r="A68" s="130">
        <v>905</v>
      </c>
      <c r="B68" s="130" t="s">
        <v>82</v>
      </c>
      <c r="C68" s="18" t="s">
        <v>41</v>
      </c>
      <c r="D68" s="20" t="s">
        <v>42</v>
      </c>
      <c r="E68" s="39"/>
      <c r="F68" s="39"/>
      <c r="G68" s="39"/>
      <c r="H68" s="39"/>
      <c r="I68" s="13">
        <f t="shared" si="0"/>
        <v>0</v>
      </c>
      <c r="J68" s="13"/>
      <c r="K68" s="13"/>
      <c r="L68" s="13">
        <f t="shared" si="1"/>
        <v>0</v>
      </c>
      <c r="M68" s="13"/>
    </row>
    <row r="69" spans="1:13" s="28" customFormat="1" ht="31.5">
      <c r="A69" s="134"/>
      <c r="B69" s="134"/>
      <c r="C69" s="18" t="s">
        <v>49</v>
      </c>
      <c r="D69" s="20" t="s">
        <v>50</v>
      </c>
      <c r="E69" s="39"/>
      <c r="F69" s="39">
        <v>15</v>
      </c>
      <c r="G69" s="39"/>
      <c r="H69" s="39"/>
      <c r="I69" s="13">
        <f t="shared" si="0"/>
        <v>0</v>
      </c>
      <c r="J69" s="13"/>
      <c r="K69" s="13">
        <f>H69/F69*100</f>
        <v>0</v>
      </c>
      <c r="L69" s="13">
        <f t="shared" si="1"/>
        <v>0</v>
      </c>
      <c r="M69" s="13"/>
    </row>
    <row r="70" spans="1:85" s="33" customFormat="1" ht="15.75">
      <c r="A70" s="136"/>
      <c r="B70" s="136"/>
      <c r="C70" s="30"/>
      <c r="D70" s="26" t="s">
        <v>77</v>
      </c>
      <c r="E70" s="40">
        <f>E68+E69</f>
        <v>0</v>
      </c>
      <c r="F70" s="40">
        <f>F68+F69</f>
        <v>15</v>
      </c>
      <c r="G70" s="40">
        <f>G68+G69</f>
        <v>0</v>
      </c>
      <c r="H70" s="40">
        <f>H68+H69</f>
        <v>0</v>
      </c>
      <c r="I70" s="27">
        <f t="shared" si="0"/>
        <v>0</v>
      </c>
      <c r="J70" s="27"/>
      <c r="K70" s="27">
        <f>H70/F70*100</f>
        <v>0</v>
      </c>
      <c r="L70" s="27">
        <f t="shared" si="1"/>
        <v>0</v>
      </c>
      <c r="M70" s="27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</row>
    <row r="71" spans="1:13" ht="31.5" customHeight="1" hidden="1">
      <c r="A71" s="128" t="s">
        <v>83</v>
      </c>
      <c r="B71" s="130" t="s">
        <v>84</v>
      </c>
      <c r="C71" s="18" t="s">
        <v>27</v>
      </c>
      <c r="D71" s="22" t="s">
        <v>28</v>
      </c>
      <c r="E71" s="13"/>
      <c r="F71" s="13"/>
      <c r="G71" s="13"/>
      <c r="H71" s="13"/>
      <c r="I71" s="13">
        <f t="shared" si="0"/>
        <v>0</v>
      </c>
      <c r="J71" s="13"/>
      <c r="K71" s="13"/>
      <c r="L71" s="13">
        <f t="shared" si="1"/>
        <v>0</v>
      </c>
      <c r="M71" s="13"/>
    </row>
    <row r="72" spans="1:13" ht="15.75" customHeight="1" hidden="1">
      <c r="A72" s="132"/>
      <c r="B72" s="134"/>
      <c r="C72" s="18" t="s">
        <v>35</v>
      </c>
      <c r="D72" s="20" t="s">
        <v>36</v>
      </c>
      <c r="E72" s="13">
        <f>E73</f>
        <v>0</v>
      </c>
      <c r="F72" s="13">
        <f>F73</f>
        <v>0</v>
      </c>
      <c r="G72" s="13">
        <f>G73</f>
        <v>0</v>
      </c>
      <c r="H72" s="13">
        <f>H73</f>
        <v>0</v>
      </c>
      <c r="I72" s="13">
        <f t="shared" si="0"/>
        <v>0</v>
      </c>
      <c r="J72" s="13"/>
      <c r="K72" s="13"/>
      <c r="L72" s="13">
        <f t="shared" si="1"/>
        <v>0</v>
      </c>
      <c r="M72" s="13"/>
    </row>
    <row r="73" spans="1:13" ht="47.25" customHeight="1" hidden="1">
      <c r="A73" s="132"/>
      <c r="B73" s="134"/>
      <c r="C73" s="16" t="s">
        <v>39</v>
      </c>
      <c r="D73" s="21" t="s">
        <v>40</v>
      </c>
      <c r="E73" s="13"/>
      <c r="F73" s="13"/>
      <c r="G73" s="13"/>
      <c r="H73" s="13"/>
      <c r="I73" s="13">
        <f t="shared" si="0"/>
        <v>0</v>
      </c>
      <c r="J73" s="13"/>
      <c r="K73" s="13"/>
      <c r="L73" s="13">
        <f t="shared" si="1"/>
        <v>0</v>
      </c>
      <c r="M73" s="13"/>
    </row>
    <row r="74" spans="1:13" ht="15.75" customHeight="1" hidden="1">
      <c r="A74" s="132"/>
      <c r="B74" s="134"/>
      <c r="C74" s="18" t="s">
        <v>41</v>
      </c>
      <c r="D74" s="20" t="s">
        <v>42</v>
      </c>
      <c r="E74" s="13"/>
      <c r="F74" s="13"/>
      <c r="G74" s="13"/>
      <c r="H74" s="13"/>
      <c r="I74" s="13">
        <f aca="true" t="shared" si="4" ref="I74:I137">H74-G74</f>
        <v>0</v>
      </c>
      <c r="J74" s="13"/>
      <c r="K74" s="13"/>
      <c r="L74" s="13">
        <f aca="true" t="shared" si="5" ref="L74:L137">H74-E74</f>
        <v>0</v>
      </c>
      <c r="M74" s="13"/>
    </row>
    <row r="75" spans="1:13" ht="15.75" customHeight="1">
      <c r="A75" s="132"/>
      <c r="B75" s="134"/>
      <c r="C75" s="18" t="s">
        <v>49</v>
      </c>
      <c r="D75" s="20" t="s">
        <v>50</v>
      </c>
      <c r="E75" s="13"/>
      <c r="F75" s="13">
        <v>25</v>
      </c>
      <c r="G75" s="13"/>
      <c r="H75" s="13"/>
      <c r="I75" s="13">
        <f t="shared" si="4"/>
        <v>0</v>
      </c>
      <c r="J75" s="13"/>
      <c r="K75" s="13">
        <f aca="true" t="shared" si="6" ref="K75:K80">H75/F75*100</f>
        <v>0</v>
      </c>
      <c r="L75" s="13">
        <f t="shared" si="5"/>
        <v>0</v>
      </c>
      <c r="M75" s="13"/>
    </row>
    <row r="76" spans="1:13" s="28" customFormat="1" ht="15.75" customHeight="1">
      <c r="A76" s="132"/>
      <c r="B76" s="134"/>
      <c r="C76" s="10"/>
      <c r="D76" s="26" t="s">
        <v>52</v>
      </c>
      <c r="E76" s="27">
        <f>SUM(E71:E72,E74:E75)</f>
        <v>0</v>
      </c>
      <c r="F76" s="27">
        <f>SUM(F71:F72,F74:F75)</f>
        <v>25</v>
      </c>
      <c r="G76" s="27">
        <f>SUM(G71:G72,G74:G75)</f>
        <v>0</v>
      </c>
      <c r="H76" s="27">
        <f>SUM(H71:H72,H74:H75)</f>
        <v>0</v>
      </c>
      <c r="I76" s="13">
        <f t="shared" si="4"/>
        <v>0</v>
      </c>
      <c r="J76" s="13"/>
      <c r="K76" s="27">
        <f t="shared" si="6"/>
        <v>0</v>
      </c>
      <c r="L76" s="13">
        <f t="shared" si="5"/>
        <v>0</v>
      </c>
      <c r="M76" s="13"/>
    </row>
    <row r="77" spans="1:13" ht="15.75">
      <c r="A77" s="132"/>
      <c r="B77" s="134"/>
      <c r="C77" s="18" t="s">
        <v>85</v>
      </c>
      <c r="D77" s="20" t="s">
        <v>86</v>
      </c>
      <c r="E77" s="13">
        <v>1394.9</v>
      </c>
      <c r="F77" s="13">
        <v>11611.7</v>
      </c>
      <c r="G77" s="13">
        <v>1277.3</v>
      </c>
      <c r="H77" s="13">
        <v>1206.5</v>
      </c>
      <c r="I77" s="13">
        <f t="shared" si="4"/>
        <v>-70.79999999999995</v>
      </c>
      <c r="J77" s="13">
        <f>H77/G77*100</f>
        <v>94.45705785641589</v>
      </c>
      <c r="K77" s="13">
        <f t="shared" si="6"/>
        <v>10.390382114591317</v>
      </c>
      <c r="L77" s="13">
        <f t="shared" si="5"/>
        <v>-188.4000000000001</v>
      </c>
      <c r="M77" s="13">
        <f>H77/E77*100</f>
        <v>86.49365545917269</v>
      </c>
    </row>
    <row r="78" spans="1:13" ht="15.75">
      <c r="A78" s="132"/>
      <c r="B78" s="134"/>
      <c r="C78" s="18" t="s">
        <v>35</v>
      </c>
      <c r="D78" s="20" t="s">
        <v>36</v>
      </c>
      <c r="E78" s="13">
        <f>SUM(E79:E85)</f>
        <v>822.7</v>
      </c>
      <c r="F78" s="13">
        <f>SUM(F79:F85)</f>
        <v>9233.6</v>
      </c>
      <c r="G78" s="13">
        <f>SUM(G79:G85)</f>
        <v>285.5</v>
      </c>
      <c r="H78" s="13">
        <f>SUM(H79:H85)</f>
        <v>280.88</v>
      </c>
      <c r="I78" s="13">
        <f t="shared" si="4"/>
        <v>-4.6200000000000045</v>
      </c>
      <c r="J78" s="13">
        <f>H78/G78*100</f>
        <v>98.38178633975481</v>
      </c>
      <c r="K78" s="13">
        <f t="shared" si="6"/>
        <v>3.0419338069658637</v>
      </c>
      <c r="L78" s="13">
        <f t="shared" si="5"/>
        <v>-541.82</v>
      </c>
      <c r="M78" s="13">
        <f>H78/E78*100</f>
        <v>34.141242251124346</v>
      </c>
    </row>
    <row r="79" spans="1:13" s="28" customFormat="1" ht="31.5" customHeight="1" hidden="1">
      <c r="A79" s="132"/>
      <c r="B79" s="134"/>
      <c r="C79" s="16" t="s">
        <v>87</v>
      </c>
      <c r="D79" s="21" t="s">
        <v>88</v>
      </c>
      <c r="E79" s="13">
        <v>102.5</v>
      </c>
      <c r="F79" s="13">
        <v>1400</v>
      </c>
      <c r="G79" s="13">
        <v>42</v>
      </c>
      <c r="H79" s="13"/>
      <c r="I79" s="13">
        <f t="shared" si="4"/>
        <v>-42</v>
      </c>
      <c r="J79" s="13">
        <f>H79/G79*100</f>
        <v>0</v>
      </c>
      <c r="K79" s="13">
        <f t="shared" si="6"/>
        <v>0</v>
      </c>
      <c r="L79" s="13">
        <f t="shared" si="5"/>
        <v>-102.5</v>
      </c>
      <c r="M79" s="13">
        <f>H79/E79*100</f>
        <v>0</v>
      </c>
    </row>
    <row r="80" spans="1:13" s="28" customFormat="1" ht="31.5" customHeight="1" hidden="1">
      <c r="A80" s="132"/>
      <c r="B80" s="134"/>
      <c r="C80" s="16" t="s">
        <v>89</v>
      </c>
      <c r="D80" s="21" t="s">
        <v>90</v>
      </c>
      <c r="E80" s="13">
        <v>530.7</v>
      </c>
      <c r="F80" s="13">
        <v>1100</v>
      </c>
      <c r="G80" s="13">
        <v>77</v>
      </c>
      <c r="H80" s="13">
        <v>45.88</v>
      </c>
      <c r="I80" s="13">
        <f t="shared" si="4"/>
        <v>-31.119999999999997</v>
      </c>
      <c r="J80" s="13">
        <f>H80/G80*100</f>
        <v>59.58441558441558</v>
      </c>
      <c r="K80" s="13">
        <f t="shared" si="6"/>
        <v>4.170909090909091</v>
      </c>
      <c r="L80" s="13">
        <f t="shared" si="5"/>
        <v>-484.82000000000005</v>
      </c>
      <c r="M80" s="13">
        <f>H80/E80*100</f>
        <v>8.645185603919352</v>
      </c>
    </row>
    <row r="81" spans="1:13" s="28" customFormat="1" ht="31.5" customHeight="1" hidden="1">
      <c r="A81" s="132"/>
      <c r="B81" s="134"/>
      <c r="C81" s="16" t="s">
        <v>91</v>
      </c>
      <c r="D81" s="21" t="s">
        <v>92</v>
      </c>
      <c r="E81" s="13"/>
      <c r="F81" s="13"/>
      <c r="G81" s="13"/>
      <c r="H81" s="13"/>
      <c r="I81" s="13">
        <f t="shared" si="4"/>
        <v>0</v>
      </c>
      <c r="J81" s="13"/>
      <c r="K81" s="13"/>
      <c r="L81" s="13">
        <f t="shared" si="5"/>
        <v>0</v>
      </c>
      <c r="M81" s="13"/>
    </row>
    <row r="82" spans="1:13" s="28" customFormat="1" ht="31.5" customHeight="1" hidden="1">
      <c r="A82" s="132"/>
      <c r="B82" s="134"/>
      <c r="C82" s="16" t="s">
        <v>93</v>
      </c>
      <c r="D82" s="21" t="s">
        <v>94</v>
      </c>
      <c r="E82" s="13">
        <v>44</v>
      </c>
      <c r="F82" s="13">
        <v>3553.3</v>
      </c>
      <c r="G82" s="13">
        <v>71.1</v>
      </c>
      <c r="H82" s="13">
        <v>235</v>
      </c>
      <c r="I82" s="13">
        <f t="shared" si="4"/>
        <v>163.9</v>
      </c>
      <c r="J82" s="13">
        <f>H82/G82*100</f>
        <v>330.5203938115331</v>
      </c>
      <c r="K82" s="13">
        <f>H82/F82*100</f>
        <v>6.6135704837756455</v>
      </c>
      <c r="L82" s="13">
        <f t="shared" si="5"/>
        <v>191</v>
      </c>
      <c r="M82" s="13">
        <f>H82/E82*100</f>
        <v>534.0909090909091</v>
      </c>
    </row>
    <row r="83" spans="1:13" s="28" customFormat="1" ht="31.5" customHeight="1" hidden="1">
      <c r="A83" s="132"/>
      <c r="B83" s="134"/>
      <c r="C83" s="16" t="s">
        <v>95</v>
      </c>
      <c r="D83" s="21" t="s">
        <v>96</v>
      </c>
      <c r="E83" s="13"/>
      <c r="F83" s="13"/>
      <c r="G83" s="13"/>
      <c r="H83" s="13"/>
      <c r="I83" s="13">
        <f t="shared" si="4"/>
        <v>0</v>
      </c>
      <c r="J83" s="13"/>
      <c r="K83" s="13"/>
      <c r="L83" s="13">
        <f t="shared" si="5"/>
        <v>0</v>
      </c>
      <c r="M83" s="13"/>
    </row>
    <row r="84" spans="1:13" s="28" customFormat="1" ht="31.5" customHeight="1" hidden="1">
      <c r="A84" s="132"/>
      <c r="B84" s="134"/>
      <c r="C84" s="16" t="s">
        <v>97</v>
      </c>
      <c r="D84" s="21" t="s">
        <v>98</v>
      </c>
      <c r="E84" s="13"/>
      <c r="F84" s="13"/>
      <c r="G84" s="13"/>
      <c r="H84" s="13"/>
      <c r="I84" s="13">
        <f t="shared" si="4"/>
        <v>0</v>
      </c>
      <c r="J84" s="13"/>
      <c r="K84" s="13"/>
      <c r="L84" s="13">
        <f t="shared" si="5"/>
        <v>0</v>
      </c>
      <c r="M84" s="13"/>
    </row>
    <row r="85" spans="1:13" ht="47.25" customHeight="1" hidden="1">
      <c r="A85" s="132"/>
      <c r="B85" s="134"/>
      <c r="C85" s="16" t="s">
        <v>39</v>
      </c>
      <c r="D85" s="21" t="s">
        <v>40</v>
      </c>
      <c r="E85" s="13">
        <v>145.5</v>
      </c>
      <c r="F85" s="13">
        <v>3180.3</v>
      </c>
      <c r="G85" s="13">
        <v>95.4</v>
      </c>
      <c r="H85" s="13"/>
      <c r="I85" s="13">
        <f t="shared" si="4"/>
        <v>-95.4</v>
      </c>
      <c r="J85" s="13">
        <f>H85/G85*100</f>
        <v>0</v>
      </c>
      <c r="K85" s="13">
        <f>H85/F85*100</f>
        <v>0</v>
      </c>
      <c r="L85" s="13">
        <f t="shared" si="5"/>
        <v>-145.5</v>
      </c>
      <c r="M85" s="13">
        <f>H85/E85*100</f>
        <v>0</v>
      </c>
    </row>
    <row r="86" spans="1:13" s="28" customFormat="1" ht="15.75">
      <c r="A86" s="132"/>
      <c r="B86" s="134"/>
      <c r="C86" s="36"/>
      <c r="D86" s="26" t="s">
        <v>55</v>
      </c>
      <c r="E86" s="27">
        <f>SUM(E77:E78)</f>
        <v>2217.6000000000004</v>
      </c>
      <c r="F86" s="27">
        <f>SUM(F77:F78)</f>
        <v>20845.300000000003</v>
      </c>
      <c r="G86" s="27">
        <f>SUM(G77:G78)</f>
        <v>1562.8</v>
      </c>
      <c r="H86" s="27">
        <f>SUM(H77:H78)</f>
        <v>1487.38</v>
      </c>
      <c r="I86" s="13">
        <f t="shared" si="4"/>
        <v>-75.41999999999985</v>
      </c>
      <c r="J86" s="13">
        <f>H86/G86*100</f>
        <v>95.17404658305605</v>
      </c>
      <c r="K86" s="27">
        <f>H86/F86*100</f>
        <v>7.135325469050577</v>
      </c>
      <c r="L86" s="13">
        <f t="shared" si="5"/>
        <v>-730.2200000000003</v>
      </c>
      <c r="M86" s="13">
        <f>H86/E86*100</f>
        <v>67.07160894660895</v>
      </c>
    </row>
    <row r="87" spans="1:85" s="33" customFormat="1" ht="15.75">
      <c r="A87" s="135"/>
      <c r="B87" s="136"/>
      <c r="C87" s="41"/>
      <c r="D87" s="26" t="s">
        <v>77</v>
      </c>
      <c r="E87" s="27">
        <f>E76+E86</f>
        <v>2217.6000000000004</v>
      </c>
      <c r="F87" s="27">
        <f>F76+F86</f>
        <v>20870.300000000003</v>
      </c>
      <c r="G87" s="27">
        <f>G76+G86</f>
        <v>1562.8</v>
      </c>
      <c r="H87" s="27">
        <f>H76+H86</f>
        <v>1487.38</v>
      </c>
      <c r="I87" s="27">
        <f t="shared" si="4"/>
        <v>-75.41999999999985</v>
      </c>
      <c r="J87" s="27">
        <f>H87/G87*100</f>
        <v>95.17404658305605</v>
      </c>
      <c r="K87" s="27">
        <f>H87/F87*100</f>
        <v>7.126778244682634</v>
      </c>
      <c r="L87" s="27">
        <f t="shared" si="5"/>
        <v>-730.2200000000003</v>
      </c>
      <c r="M87" s="27">
        <f>H87/E87*100</f>
        <v>67.07160894660895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</row>
    <row r="88" spans="1:13" ht="15.75" hidden="1">
      <c r="A88" s="128" t="s">
        <v>99</v>
      </c>
      <c r="B88" s="130" t="s">
        <v>100</v>
      </c>
      <c r="C88" s="18" t="s">
        <v>21</v>
      </c>
      <c r="D88" s="19" t="s">
        <v>22</v>
      </c>
      <c r="E88" s="39"/>
      <c r="F88" s="39"/>
      <c r="G88" s="39"/>
      <c r="H88" s="39"/>
      <c r="I88" s="13">
        <f t="shared" si="4"/>
        <v>0</v>
      </c>
      <c r="J88" s="13"/>
      <c r="K88" s="13"/>
      <c r="L88" s="13">
        <f t="shared" si="5"/>
        <v>0</v>
      </c>
      <c r="M88" s="13"/>
    </row>
    <row r="89" spans="1:13" ht="31.5">
      <c r="A89" s="132"/>
      <c r="B89" s="134"/>
      <c r="C89" s="18" t="s">
        <v>27</v>
      </c>
      <c r="D89" s="22" t="s">
        <v>28</v>
      </c>
      <c r="E89" s="39"/>
      <c r="F89" s="39"/>
      <c r="G89" s="39"/>
      <c r="H89" s="39">
        <v>6</v>
      </c>
      <c r="I89" s="13">
        <f t="shared" si="4"/>
        <v>6</v>
      </c>
      <c r="J89" s="13"/>
      <c r="K89" s="13"/>
      <c r="L89" s="13">
        <f t="shared" si="5"/>
        <v>6</v>
      </c>
      <c r="M89" s="13"/>
    </row>
    <row r="90" spans="1:13" ht="111.75" customHeight="1">
      <c r="A90" s="132"/>
      <c r="B90" s="134"/>
      <c r="C90" s="16" t="s">
        <v>29</v>
      </c>
      <c r="D90" s="23" t="s">
        <v>30</v>
      </c>
      <c r="E90" s="39">
        <v>5</v>
      </c>
      <c r="F90" s="39"/>
      <c r="G90" s="39"/>
      <c r="H90" s="39">
        <v>9.34</v>
      </c>
      <c r="I90" s="13">
        <f t="shared" si="4"/>
        <v>9.34</v>
      </c>
      <c r="J90" s="13"/>
      <c r="K90" s="13"/>
      <c r="L90" s="13">
        <f t="shared" si="5"/>
        <v>4.34</v>
      </c>
      <c r="M90" s="13">
        <f>H90/E90*100</f>
        <v>186.79999999999998</v>
      </c>
    </row>
    <row r="91" spans="1:13" ht="15.75">
      <c r="A91" s="132"/>
      <c r="B91" s="134"/>
      <c r="C91" s="18" t="s">
        <v>35</v>
      </c>
      <c r="D91" s="20" t="s">
        <v>36</v>
      </c>
      <c r="E91" s="13">
        <f>E92</f>
        <v>0</v>
      </c>
      <c r="F91" s="13">
        <f>F92</f>
        <v>0</v>
      </c>
      <c r="G91" s="13">
        <f>G92</f>
        <v>0</v>
      </c>
      <c r="H91" s="13">
        <f>H92</f>
        <v>0</v>
      </c>
      <c r="I91" s="13">
        <f t="shared" si="4"/>
        <v>0</v>
      </c>
      <c r="J91" s="13"/>
      <c r="K91" s="13"/>
      <c r="L91" s="13">
        <f t="shared" si="5"/>
        <v>0</v>
      </c>
      <c r="M91" s="13"/>
    </row>
    <row r="92" spans="1:13" ht="47.25" customHeight="1" hidden="1">
      <c r="A92" s="132"/>
      <c r="B92" s="134"/>
      <c r="C92" s="16" t="s">
        <v>39</v>
      </c>
      <c r="D92" s="21" t="s">
        <v>40</v>
      </c>
      <c r="E92" s="13"/>
      <c r="F92" s="13"/>
      <c r="G92" s="13"/>
      <c r="H92" s="13"/>
      <c r="I92" s="13">
        <f t="shared" si="4"/>
        <v>0</v>
      </c>
      <c r="J92" s="13"/>
      <c r="K92" s="13"/>
      <c r="L92" s="13">
        <f t="shared" si="5"/>
        <v>0</v>
      </c>
      <c r="M92" s="13"/>
    </row>
    <row r="93" spans="1:13" ht="15.75" customHeight="1" hidden="1">
      <c r="A93" s="132"/>
      <c r="B93" s="134"/>
      <c r="C93" s="18" t="s">
        <v>41</v>
      </c>
      <c r="D93" s="20" t="s">
        <v>42</v>
      </c>
      <c r="E93" s="39"/>
      <c r="F93" s="39"/>
      <c r="G93" s="39"/>
      <c r="H93" s="39"/>
      <c r="I93" s="13">
        <f t="shared" si="4"/>
        <v>0</v>
      </c>
      <c r="J93" s="13"/>
      <c r="K93" s="13"/>
      <c r="L93" s="13">
        <f t="shared" si="5"/>
        <v>0</v>
      </c>
      <c r="M93" s="13"/>
    </row>
    <row r="94" spans="1:13" ht="15.75" customHeight="1" hidden="1">
      <c r="A94" s="132"/>
      <c r="B94" s="134"/>
      <c r="C94" s="18" t="s">
        <v>43</v>
      </c>
      <c r="D94" s="20" t="s">
        <v>44</v>
      </c>
      <c r="E94" s="39"/>
      <c r="F94" s="39"/>
      <c r="G94" s="39"/>
      <c r="H94" s="39"/>
      <c r="I94" s="13">
        <f t="shared" si="4"/>
        <v>0</v>
      </c>
      <c r="J94" s="13"/>
      <c r="K94" s="13"/>
      <c r="L94" s="13">
        <f t="shared" si="5"/>
        <v>0</v>
      </c>
      <c r="M94" s="13"/>
    </row>
    <row r="95" spans="1:13" ht="15.75" customHeight="1" hidden="1">
      <c r="A95" s="132"/>
      <c r="B95" s="134"/>
      <c r="C95" s="18" t="s">
        <v>45</v>
      </c>
      <c r="D95" s="20" t="s">
        <v>46</v>
      </c>
      <c r="F95" s="39"/>
      <c r="G95" s="39"/>
      <c r="H95" s="39"/>
      <c r="I95" s="13">
        <f t="shared" si="4"/>
        <v>0</v>
      </c>
      <c r="J95" s="13"/>
      <c r="K95" s="13"/>
      <c r="L95" s="13"/>
      <c r="M95" s="13">
        <f>H95/E99*100</f>
        <v>0</v>
      </c>
    </row>
    <row r="96" spans="1:13" ht="21" customHeight="1" hidden="1">
      <c r="A96" s="132"/>
      <c r="B96" s="134"/>
      <c r="C96" s="18" t="s">
        <v>47</v>
      </c>
      <c r="D96" s="20" t="s">
        <v>48</v>
      </c>
      <c r="E96" s="39"/>
      <c r="F96" s="39"/>
      <c r="G96" s="39"/>
      <c r="H96" s="39"/>
      <c r="I96" s="13">
        <f t="shared" si="4"/>
        <v>0</v>
      </c>
      <c r="J96" s="13"/>
      <c r="K96" s="13"/>
      <c r="L96" s="13">
        <f t="shared" si="5"/>
        <v>0</v>
      </c>
      <c r="M96" s="13"/>
    </row>
    <row r="97" spans="1:13" ht="31.5">
      <c r="A97" s="132"/>
      <c r="B97" s="134"/>
      <c r="C97" s="18" t="s">
        <v>49</v>
      </c>
      <c r="D97" s="20" t="s">
        <v>101</v>
      </c>
      <c r="E97" s="39">
        <v>1342.7</v>
      </c>
      <c r="F97" s="39">
        <f>(19460.8-0.024)+3700+77468.9</f>
        <v>100629.67599999999</v>
      </c>
      <c r="G97" s="39">
        <f>3750.94+19367.22</f>
        <v>23118.16</v>
      </c>
      <c r="H97" s="39">
        <v>1765.23</v>
      </c>
      <c r="I97" s="13">
        <f t="shared" si="4"/>
        <v>-21352.93</v>
      </c>
      <c r="J97" s="13">
        <f>H97/G97*100</f>
        <v>7.6356855389875316</v>
      </c>
      <c r="K97" s="13">
        <f>H97/F97*100</f>
        <v>1.7541843223265474</v>
      </c>
      <c r="L97" s="13">
        <f t="shared" si="5"/>
        <v>422.53</v>
      </c>
      <c r="M97" s="13">
        <f>H97/E97*100</f>
        <v>131.46868250539956</v>
      </c>
    </row>
    <row r="98" spans="1:13" ht="15.75" customHeight="1" hidden="1">
      <c r="A98" s="132"/>
      <c r="B98" s="134"/>
      <c r="C98" s="18" t="s">
        <v>80</v>
      </c>
      <c r="D98" s="20" t="s">
        <v>102</v>
      </c>
      <c r="E98" s="39"/>
      <c r="F98" s="39"/>
      <c r="G98" s="39"/>
      <c r="H98" s="39"/>
      <c r="I98" s="13">
        <f t="shared" si="4"/>
        <v>0</v>
      </c>
      <c r="J98" s="13"/>
      <c r="K98" s="13"/>
      <c r="L98" s="13">
        <f t="shared" si="5"/>
        <v>0</v>
      </c>
      <c r="M98" s="13"/>
    </row>
    <row r="99" spans="1:13" ht="15.75" customHeight="1">
      <c r="A99" s="132"/>
      <c r="B99" s="134"/>
      <c r="C99" s="18" t="s">
        <v>51</v>
      </c>
      <c r="D99" s="20" t="s">
        <v>46</v>
      </c>
      <c r="E99" s="39">
        <v>-2817.5</v>
      </c>
      <c r="F99" s="39"/>
      <c r="G99" s="39"/>
      <c r="H99" s="39">
        <v>-23948.79</v>
      </c>
      <c r="I99" s="13">
        <f t="shared" si="4"/>
        <v>-23948.79</v>
      </c>
      <c r="J99" s="13"/>
      <c r="K99" s="13"/>
      <c r="L99" s="13">
        <f t="shared" si="5"/>
        <v>-21131.29</v>
      </c>
      <c r="M99" s="13">
        <f>H99/E99*100</f>
        <v>850.0014196983141</v>
      </c>
    </row>
    <row r="100" spans="1:13" s="28" customFormat="1" ht="15.75" customHeight="1">
      <c r="A100" s="132"/>
      <c r="B100" s="134"/>
      <c r="C100" s="25"/>
      <c r="D100" s="26" t="s">
        <v>52</v>
      </c>
      <c r="E100" s="27">
        <f>SUM(E88:E91,E93:E99)</f>
        <v>-1469.8</v>
      </c>
      <c r="F100" s="27">
        <f>SUM(F88:F91,F93:F99)</f>
        <v>100629.67599999999</v>
      </c>
      <c r="G100" s="27">
        <f>SUM(G88:G91,G93:G99)</f>
        <v>23118.16</v>
      </c>
      <c r="H100" s="27">
        <f>SUM(H88:H91,H93:H99)</f>
        <v>-22168.22</v>
      </c>
      <c r="I100" s="13">
        <f t="shared" si="4"/>
        <v>-45286.380000000005</v>
      </c>
      <c r="J100" s="13">
        <f aca="true" t="shared" si="7" ref="J100:J105">H100/G100*100</f>
        <v>-95.89093595684086</v>
      </c>
      <c r="K100" s="27">
        <f aca="true" t="shared" si="8" ref="K100:K105">H100/F100*100</f>
        <v>-22.029505491004468</v>
      </c>
      <c r="L100" s="13">
        <f t="shared" si="5"/>
        <v>-20698.420000000002</v>
      </c>
      <c r="M100" s="13">
        <f aca="true" t="shared" si="9" ref="M100:M105">H100/E100*100</f>
        <v>1508.2473805959996</v>
      </c>
    </row>
    <row r="101" spans="1:13" ht="15.75">
      <c r="A101" s="133"/>
      <c r="B101" s="133"/>
      <c r="C101" s="18" t="s">
        <v>35</v>
      </c>
      <c r="D101" s="20" t="s">
        <v>36</v>
      </c>
      <c r="E101" s="13">
        <f>E102</f>
        <v>0</v>
      </c>
      <c r="F101" s="13">
        <f>F102</f>
        <v>600</v>
      </c>
      <c r="G101" s="13">
        <f>G102</f>
        <v>50</v>
      </c>
      <c r="H101" s="13">
        <f>H102</f>
        <v>13</v>
      </c>
      <c r="I101" s="13">
        <f t="shared" si="4"/>
        <v>-37</v>
      </c>
      <c r="J101" s="13">
        <f t="shared" si="7"/>
        <v>26</v>
      </c>
      <c r="K101" s="13">
        <f t="shared" si="8"/>
        <v>2.166666666666667</v>
      </c>
      <c r="L101" s="13">
        <f t="shared" si="5"/>
        <v>13</v>
      </c>
      <c r="M101" s="13"/>
    </row>
    <row r="102" spans="1:13" ht="47.25" customHeight="1" hidden="1">
      <c r="A102" s="133"/>
      <c r="B102" s="133"/>
      <c r="C102" s="16" t="s">
        <v>39</v>
      </c>
      <c r="D102" s="21" t="s">
        <v>40</v>
      </c>
      <c r="E102" s="13"/>
      <c r="F102" s="13">
        <v>600</v>
      </c>
      <c r="G102" s="13">
        <v>50</v>
      </c>
      <c r="H102" s="13">
        <v>13</v>
      </c>
      <c r="I102" s="13">
        <f t="shared" si="4"/>
        <v>-37</v>
      </c>
      <c r="J102" s="13">
        <f t="shared" si="7"/>
        <v>26</v>
      </c>
      <c r="K102" s="13">
        <f t="shared" si="8"/>
        <v>2.166666666666667</v>
      </c>
      <c r="L102" s="13">
        <f t="shared" si="5"/>
        <v>13</v>
      </c>
      <c r="M102" s="13"/>
    </row>
    <row r="103" spans="1:13" s="28" customFormat="1" ht="15.75" customHeight="1">
      <c r="A103" s="133"/>
      <c r="B103" s="133"/>
      <c r="C103" s="25"/>
      <c r="D103" s="26" t="s">
        <v>55</v>
      </c>
      <c r="E103" s="27">
        <f>SUM(E101)</f>
        <v>0</v>
      </c>
      <c r="F103" s="27">
        <f>SUM(F101)</f>
        <v>600</v>
      </c>
      <c r="G103" s="27">
        <f>SUM(G101)</f>
        <v>50</v>
      </c>
      <c r="H103" s="27">
        <f>SUM(H101)</f>
        <v>13</v>
      </c>
      <c r="I103" s="13">
        <f t="shared" si="4"/>
        <v>-37</v>
      </c>
      <c r="J103" s="13">
        <f t="shared" si="7"/>
        <v>26</v>
      </c>
      <c r="K103" s="27">
        <f t="shared" si="8"/>
        <v>2.166666666666667</v>
      </c>
      <c r="L103" s="13">
        <f t="shared" si="5"/>
        <v>13</v>
      </c>
      <c r="M103" s="13"/>
    </row>
    <row r="104" spans="1:13" s="28" customFormat="1" ht="47.25">
      <c r="A104" s="133"/>
      <c r="B104" s="133"/>
      <c r="C104" s="25"/>
      <c r="D104" s="26" t="s">
        <v>56</v>
      </c>
      <c r="E104" s="27">
        <f>E105-E99</f>
        <v>1347.7</v>
      </c>
      <c r="F104" s="27">
        <f>F105-F99</f>
        <v>101229.67599999999</v>
      </c>
      <c r="G104" s="27">
        <f>G105-G99</f>
        <v>23168.16</v>
      </c>
      <c r="H104" s="27">
        <f>H105-H99</f>
        <v>1793.5699999999997</v>
      </c>
      <c r="I104" s="13">
        <f t="shared" si="4"/>
        <v>-21374.59</v>
      </c>
      <c r="J104" s="13">
        <f t="shared" si="7"/>
        <v>7.741529754628765</v>
      </c>
      <c r="K104" s="27">
        <f t="shared" si="8"/>
        <v>1.771782811988848</v>
      </c>
      <c r="L104" s="13">
        <f t="shared" si="5"/>
        <v>445.86999999999966</v>
      </c>
      <c r="M104" s="13">
        <f t="shared" si="9"/>
        <v>133.0837723528975</v>
      </c>
    </row>
    <row r="105" spans="1:85" s="33" customFormat="1" ht="15.75">
      <c r="A105" s="129"/>
      <c r="B105" s="129"/>
      <c r="C105" s="30"/>
      <c r="D105" s="26" t="s">
        <v>77</v>
      </c>
      <c r="E105" s="27">
        <f>E100+E103</f>
        <v>-1469.8</v>
      </c>
      <c r="F105" s="27">
        <f>F100+F103</f>
        <v>101229.67599999999</v>
      </c>
      <c r="G105" s="27">
        <f>G100+G103</f>
        <v>23168.16</v>
      </c>
      <c r="H105" s="27">
        <f>H100+H103</f>
        <v>-22155.22</v>
      </c>
      <c r="I105" s="27">
        <f t="shared" si="4"/>
        <v>-45323.380000000005</v>
      </c>
      <c r="J105" s="27">
        <f t="shared" si="7"/>
        <v>-95.62787895111222</v>
      </c>
      <c r="K105" s="27">
        <f t="shared" si="8"/>
        <v>-21.88609197958907</v>
      </c>
      <c r="L105" s="27">
        <f t="shared" si="5"/>
        <v>-20685.420000000002</v>
      </c>
      <c r="M105" s="27">
        <f t="shared" si="9"/>
        <v>1507.3629065178936</v>
      </c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</row>
    <row r="106" spans="1:13" s="28" customFormat="1" ht="31.5" customHeight="1" hidden="1">
      <c r="A106" s="128" t="s">
        <v>103</v>
      </c>
      <c r="B106" s="130" t="s">
        <v>104</v>
      </c>
      <c r="C106" s="18" t="s">
        <v>27</v>
      </c>
      <c r="D106" s="22" t="s">
        <v>28</v>
      </c>
      <c r="E106" s="13"/>
      <c r="F106" s="27"/>
      <c r="G106" s="27"/>
      <c r="H106" s="13"/>
      <c r="I106" s="13">
        <f t="shared" si="4"/>
        <v>0</v>
      </c>
      <c r="J106" s="13"/>
      <c r="K106" s="13"/>
      <c r="L106" s="13">
        <f t="shared" si="5"/>
        <v>0</v>
      </c>
      <c r="M106" s="13"/>
    </row>
    <row r="107" spans="1:13" s="28" customFormat="1" ht="78.75" customHeight="1" hidden="1">
      <c r="A107" s="132"/>
      <c r="B107" s="134"/>
      <c r="C107" s="16" t="s">
        <v>29</v>
      </c>
      <c r="D107" s="23" t="s">
        <v>30</v>
      </c>
      <c r="E107" s="13"/>
      <c r="F107" s="27"/>
      <c r="G107" s="27"/>
      <c r="H107" s="13"/>
      <c r="I107" s="13">
        <f t="shared" si="4"/>
        <v>0</v>
      </c>
      <c r="J107" s="13"/>
      <c r="K107" s="13"/>
      <c r="L107" s="13">
        <f t="shared" si="5"/>
        <v>0</v>
      </c>
      <c r="M107" s="13" t="e">
        <f>H107/E107*100</f>
        <v>#DIV/0!</v>
      </c>
    </row>
    <row r="108" spans="1:13" ht="15.75" customHeight="1" hidden="1">
      <c r="A108" s="133"/>
      <c r="B108" s="133"/>
      <c r="C108" s="18" t="s">
        <v>35</v>
      </c>
      <c r="D108" s="20" t="s">
        <v>36</v>
      </c>
      <c r="E108" s="13">
        <f>SUM(E109:E110)</f>
        <v>0</v>
      </c>
      <c r="F108" s="13">
        <f>SUM(F109:F110)</f>
        <v>0</v>
      </c>
      <c r="G108" s="13">
        <f>SUM(G109:G110)</f>
        <v>0</v>
      </c>
      <c r="H108" s="13">
        <f>SUM(H109:H110)</f>
        <v>0</v>
      </c>
      <c r="I108" s="13">
        <f t="shared" si="4"/>
        <v>0</v>
      </c>
      <c r="J108" s="13"/>
      <c r="K108" s="13"/>
      <c r="L108" s="13">
        <f t="shared" si="5"/>
        <v>0</v>
      </c>
      <c r="M108" s="13" t="e">
        <f>H108/E108*100</f>
        <v>#DIV/0!</v>
      </c>
    </row>
    <row r="109" spans="1:13" ht="15.75" customHeight="1" hidden="1">
      <c r="A109" s="133"/>
      <c r="B109" s="133"/>
      <c r="C109" s="16" t="s">
        <v>60</v>
      </c>
      <c r="D109" s="21" t="s">
        <v>61</v>
      </c>
      <c r="E109" s="13"/>
      <c r="F109" s="13"/>
      <c r="G109" s="13"/>
      <c r="H109" s="13"/>
      <c r="I109" s="13">
        <f t="shared" si="4"/>
        <v>0</v>
      </c>
      <c r="J109" s="13"/>
      <c r="K109" s="13"/>
      <c r="L109" s="13">
        <f t="shared" si="5"/>
        <v>0</v>
      </c>
      <c r="M109" s="13"/>
    </row>
    <row r="110" spans="1:13" ht="47.25" customHeight="1" hidden="1">
      <c r="A110" s="133"/>
      <c r="B110" s="133"/>
      <c r="C110" s="16" t="s">
        <v>39</v>
      </c>
      <c r="D110" s="21" t="s">
        <v>40</v>
      </c>
      <c r="E110" s="13"/>
      <c r="F110" s="13"/>
      <c r="G110" s="13"/>
      <c r="H110" s="13"/>
      <c r="I110" s="13">
        <f t="shared" si="4"/>
        <v>0</v>
      </c>
      <c r="J110" s="13"/>
      <c r="K110" s="13"/>
      <c r="L110" s="13">
        <f t="shared" si="5"/>
        <v>0</v>
      </c>
      <c r="M110" s="13"/>
    </row>
    <row r="111" spans="1:13" ht="15.75">
      <c r="A111" s="133"/>
      <c r="B111" s="133"/>
      <c r="C111" s="18" t="s">
        <v>41</v>
      </c>
      <c r="D111" s="20" t="s">
        <v>42</v>
      </c>
      <c r="E111" s="13">
        <v>-16.7</v>
      </c>
      <c r="F111" s="13"/>
      <c r="G111" s="13"/>
      <c r="H111" s="13"/>
      <c r="I111" s="13">
        <f t="shared" si="4"/>
        <v>0</v>
      </c>
      <c r="J111" s="13"/>
      <c r="K111" s="13"/>
      <c r="L111" s="13">
        <f t="shared" si="5"/>
        <v>16.7</v>
      </c>
      <c r="M111" s="13">
        <f>H111/E111*100</f>
        <v>0</v>
      </c>
    </row>
    <row r="112" spans="1:13" ht="15.75" customHeight="1" hidden="1">
      <c r="A112" s="133"/>
      <c r="B112" s="133"/>
      <c r="C112" s="18" t="s">
        <v>43</v>
      </c>
      <c r="D112" s="20" t="s">
        <v>44</v>
      </c>
      <c r="E112" s="13"/>
      <c r="F112" s="13"/>
      <c r="G112" s="13"/>
      <c r="H112" s="13"/>
      <c r="I112" s="13">
        <f t="shared" si="4"/>
        <v>0</v>
      </c>
      <c r="J112" s="13"/>
      <c r="K112" s="13"/>
      <c r="L112" s="13">
        <f t="shared" si="5"/>
        <v>0</v>
      </c>
      <c r="M112" s="13" t="e">
        <f aca="true" t="shared" si="10" ref="M112:M117">H112/E112*100</f>
        <v>#DIV/0!</v>
      </c>
    </row>
    <row r="113" spans="1:13" ht="15.75" customHeight="1" hidden="1">
      <c r="A113" s="133"/>
      <c r="B113" s="133"/>
      <c r="C113" s="18" t="s">
        <v>45</v>
      </c>
      <c r="D113" s="20" t="s">
        <v>46</v>
      </c>
      <c r="F113" s="13"/>
      <c r="G113" s="13"/>
      <c r="H113" s="13"/>
      <c r="I113" s="13">
        <f t="shared" si="4"/>
        <v>0</v>
      </c>
      <c r="J113" s="13"/>
      <c r="K113" s="13"/>
      <c r="L113" s="13">
        <f t="shared" si="5"/>
        <v>0</v>
      </c>
      <c r="M113" s="13" t="e">
        <f t="shared" si="10"/>
        <v>#DIV/0!</v>
      </c>
    </row>
    <row r="114" spans="1:13" ht="15.75" hidden="1">
      <c r="A114" s="133"/>
      <c r="B114" s="133"/>
      <c r="C114" s="18" t="s">
        <v>47</v>
      </c>
      <c r="D114" s="20" t="s">
        <v>48</v>
      </c>
      <c r="E114" s="13"/>
      <c r="F114" s="13"/>
      <c r="G114" s="13"/>
      <c r="H114" s="13"/>
      <c r="I114" s="13">
        <f t="shared" si="4"/>
        <v>0</v>
      </c>
      <c r="J114" s="13"/>
      <c r="K114" s="13"/>
      <c r="L114" s="13">
        <f t="shared" si="5"/>
        <v>0</v>
      </c>
      <c r="M114" s="13" t="e">
        <f t="shared" si="10"/>
        <v>#DIV/0!</v>
      </c>
    </row>
    <row r="115" spans="1:13" ht="15.75" customHeight="1">
      <c r="A115" s="133"/>
      <c r="B115" s="133"/>
      <c r="C115" s="18" t="s">
        <v>49</v>
      </c>
      <c r="D115" s="20" t="s">
        <v>101</v>
      </c>
      <c r="E115" s="13"/>
      <c r="F115" s="13">
        <v>300</v>
      </c>
      <c r="G115" s="13"/>
      <c r="H115" s="13"/>
      <c r="I115" s="13">
        <f t="shared" si="4"/>
        <v>0</v>
      </c>
      <c r="J115" s="13"/>
      <c r="K115" s="13">
        <f>H115/F115*100</f>
        <v>0</v>
      </c>
      <c r="L115" s="13">
        <f t="shared" si="5"/>
        <v>0</v>
      </c>
      <c r="M115" s="13"/>
    </row>
    <row r="116" spans="1:13" ht="15.75" customHeight="1">
      <c r="A116" s="133"/>
      <c r="B116" s="133"/>
      <c r="C116" s="18" t="s">
        <v>69</v>
      </c>
      <c r="D116" s="21" t="s">
        <v>70</v>
      </c>
      <c r="E116" s="13"/>
      <c r="F116" s="13">
        <v>2433.9</v>
      </c>
      <c r="G116" s="13"/>
      <c r="H116" s="13"/>
      <c r="I116" s="13">
        <f t="shared" si="4"/>
        <v>0</v>
      </c>
      <c r="J116" s="13"/>
      <c r="K116" s="13">
        <f>H116/F116*100</f>
        <v>0</v>
      </c>
      <c r="L116" s="13">
        <f t="shared" si="5"/>
        <v>0</v>
      </c>
      <c r="M116" s="13"/>
    </row>
    <row r="117" spans="1:13" ht="15.75" customHeight="1">
      <c r="A117" s="133"/>
      <c r="B117" s="133"/>
      <c r="C117" s="18" t="s">
        <v>51</v>
      </c>
      <c r="D117" s="20" t="s">
        <v>46</v>
      </c>
      <c r="E117" s="13">
        <v>-2</v>
      </c>
      <c r="F117" s="13"/>
      <c r="G117" s="13"/>
      <c r="H117" s="13">
        <v>-172.4</v>
      </c>
      <c r="I117" s="13">
        <f t="shared" si="4"/>
        <v>-172.4</v>
      </c>
      <c r="J117" s="13"/>
      <c r="K117" s="13"/>
      <c r="L117" s="13">
        <f t="shared" si="5"/>
        <v>-170.4</v>
      </c>
      <c r="M117" s="13">
        <f t="shared" si="10"/>
        <v>8620</v>
      </c>
    </row>
    <row r="118" spans="1:13" s="28" customFormat="1" ht="47.25">
      <c r="A118" s="133"/>
      <c r="B118" s="133"/>
      <c r="C118" s="36"/>
      <c r="D118" s="26" t="s">
        <v>56</v>
      </c>
      <c r="E118" s="27">
        <f>E119-E117</f>
        <v>-16.7</v>
      </c>
      <c r="F118" s="27">
        <f>F119-F117</f>
        <v>2733.9</v>
      </c>
      <c r="G118" s="27">
        <f>G119-G117</f>
        <v>0</v>
      </c>
      <c r="H118" s="27">
        <f>H119-H117</f>
        <v>0</v>
      </c>
      <c r="I118" s="13">
        <f t="shared" si="4"/>
        <v>0</v>
      </c>
      <c r="J118" s="13"/>
      <c r="K118" s="27">
        <f>H118/F118*100</f>
        <v>0</v>
      </c>
      <c r="L118" s="13"/>
      <c r="M118" s="13">
        <f>H118/E118*100</f>
        <v>0</v>
      </c>
    </row>
    <row r="119" spans="1:85" s="33" customFormat="1" ht="15.75">
      <c r="A119" s="129"/>
      <c r="B119" s="129"/>
      <c r="C119" s="45"/>
      <c r="D119" s="26" t="s">
        <v>77</v>
      </c>
      <c r="E119" s="27">
        <f>SUM(E106:E108,E111:E117)</f>
        <v>-18.7</v>
      </c>
      <c r="F119" s="27">
        <f>SUM(F106:F108,F111:F117)</f>
        <v>2733.9</v>
      </c>
      <c r="G119" s="27">
        <f>SUM(G106:G108,G111:G117)</f>
        <v>0</v>
      </c>
      <c r="H119" s="27">
        <f>SUM(H106:H108,H111:H117)</f>
        <v>-172.4</v>
      </c>
      <c r="I119" s="27">
        <f t="shared" si="4"/>
        <v>-172.4</v>
      </c>
      <c r="J119" s="27"/>
      <c r="K119" s="27">
        <f>H119/F119*100</f>
        <v>-6.306009729690186</v>
      </c>
      <c r="L119" s="27">
        <f t="shared" si="5"/>
        <v>-153.70000000000002</v>
      </c>
      <c r="M119" s="27">
        <f>H119/E119*100</f>
        <v>921.9251336898398</v>
      </c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</row>
    <row r="120" spans="1:13" s="28" customFormat="1" ht="31.5" hidden="1">
      <c r="A120" s="130">
        <v>926</v>
      </c>
      <c r="B120" s="130" t="s">
        <v>105</v>
      </c>
      <c r="C120" s="18" t="s">
        <v>27</v>
      </c>
      <c r="D120" s="22" t="s">
        <v>28</v>
      </c>
      <c r="E120" s="13"/>
      <c r="F120" s="13"/>
      <c r="G120" s="13"/>
      <c r="H120" s="13"/>
      <c r="I120" s="13">
        <f t="shared" si="4"/>
        <v>0</v>
      </c>
      <c r="J120" s="13"/>
      <c r="K120" s="13"/>
      <c r="L120" s="13">
        <f t="shared" si="5"/>
        <v>0</v>
      </c>
      <c r="M120" s="13"/>
    </row>
    <row r="121" spans="1:13" s="28" customFormat="1" ht="15.75" hidden="1">
      <c r="A121" s="134"/>
      <c r="B121" s="134"/>
      <c r="C121" s="18" t="s">
        <v>41</v>
      </c>
      <c r="D121" s="20" t="s">
        <v>42</v>
      </c>
      <c r="E121" s="13"/>
      <c r="F121" s="13"/>
      <c r="G121" s="13"/>
      <c r="H121" s="13"/>
      <c r="I121" s="13">
        <f t="shared" si="4"/>
        <v>0</v>
      </c>
      <c r="J121" s="13"/>
      <c r="K121" s="13"/>
      <c r="L121" s="13">
        <f t="shared" si="5"/>
        <v>0</v>
      </c>
      <c r="M121" s="13"/>
    </row>
    <row r="122" spans="1:13" s="28" customFormat="1" ht="15.75" customHeight="1" hidden="1">
      <c r="A122" s="134"/>
      <c r="B122" s="134"/>
      <c r="C122" s="18" t="s">
        <v>47</v>
      </c>
      <c r="D122" s="20" t="s">
        <v>48</v>
      </c>
      <c r="E122" s="13"/>
      <c r="F122" s="13"/>
      <c r="G122" s="13"/>
      <c r="H122" s="13"/>
      <c r="I122" s="13">
        <f t="shared" si="4"/>
        <v>0</v>
      </c>
      <c r="J122" s="13"/>
      <c r="K122" s="13"/>
      <c r="L122" s="13">
        <f t="shared" si="5"/>
        <v>0</v>
      </c>
      <c r="M122" s="13"/>
    </row>
    <row r="123" spans="1:13" s="28" customFormat="1" ht="31.5">
      <c r="A123" s="134"/>
      <c r="B123" s="134"/>
      <c r="C123" s="18" t="s">
        <v>49</v>
      </c>
      <c r="D123" s="20" t="s">
        <v>101</v>
      </c>
      <c r="E123" s="13"/>
      <c r="F123" s="13">
        <v>15</v>
      </c>
      <c r="G123" s="13"/>
      <c r="H123" s="13"/>
      <c r="I123" s="13">
        <f t="shared" si="4"/>
        <v>0</v>
      </c>
      <c r="J123" s="13"/>
      <c r="K123" s="13">
        <f>H123/F123*100</f>
        <v>0</v>
      </c>
      <c r="L123" s="13">
        <f t="shared" si="5"/>
        <v>0</v>
      </c>
      <c r="M123" s="13"/>
    </row>
    <row r="124" spans="1:85" s="33" customFormat="1" ht="15.75">
      <c r="A124" s="136"/>
      <c r="B124" s="136"/>
      <c r="C124" s="45"/>
      <c r="D124" s="26" t="s">
        <v>77</v>
      </c>
      <c r="E124" s="27">
        <f>SUM(E120:E123)</f>
        <v>0</v>
      </c>
      <c r="F124" s="27">
        <f>SUM(F120:F123)</f>
        <v>15</v>
      </c>
      <c r="G124" s="27">
        <f>SUM(G120:G123)</f>
        <v>0</v>
      </c>
      <c r="H124" s="27">
        <f>SUM(H120:H123)</f>
        <v>0</v>
      </c>
      <c r="I124" s="27">
        <f t="shared" si="4"/>
        <v>0</v>
      </c>
      <c r="J124" s="27"/>
      <c r="K124" s="27">
        <f>H124/F124*100</f>
        <v>0</v>
      </c>
      <c r="L124" s="27">
        <f t="shared" si="5"/>
        <v>0</v>
      </c>
      <c r="M124" s="27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</row>
    <row r="125" spans="1:13" ht="15.75" hidden="1">
      <c r="A125" s="137" t="s">
        <v>106</v>
      </c>
      <c r="B125" s="114" t="s">
        <v>107</v>
      </c>
      <c r="C125" s="18" t="s">
        <v>21</v>
      </c>
      <c r="D125" s="19" t="s">
        <v>22</v>
      </c>
      <c r="E125" s="39"/>
      <c r="F125" s="39"/>
      <c r="G125" s="39"/>
      <c r="H125" s="39"/>
      <c r="I125" s="13">
        <f t="shared" si="4"/>
        <v>0</v>
      </c>
      <c r="J125" s="13"/>
      <c r="K125" s="13"/>
      <c r="L125" s="13">
        <f t="shared" si="5"/>
        <v>0</v>
      </c>
      <c r="M125" s="13"/>
    </row>
    <row r="126" spans="1:13" ht="31.5" customHeight="1">
      <c r="A126" s="137"/>
      <c r="B126" s="114"/>
      <c r="C126" s="18" t="s">
        <v>27</v>
      </c>
      <c r="D126" s="22" t="s">
        <v>28</v>
      </c>
      <c r="E126" s="39">
        <v>76.4</v>
      </c>
      <c r="F126" s="39"/>
      <c r="G126" s="39"/>
      <c r="H126" s="39">
        <v>1.69</v>
      </c>
      <c r="I126" s="13">
        <f t="shared" si="4"/>
        <v>1.69</v>
      </c>
      <c r="J126" s="13"/>
      <c r="K126" s="13"/>
      <c r="L126" s="13">
        <f t="shared" si="5"/>
        <v>-74.71000000000001</v>
      </c>
      <c r="M126" s="13"/>
    </row>
    <row r="127" spans="1:13" ht="15.75" customHeight="1">
      <c r="A127" s="137"/>
      <c r="B127" s="114"/>
      <c r="C127" s="18" t="s">
        <v>35</v>
      </c>
      <c r="D127" s="20" t="s">
        <v>36</v>
      </c>
      <c r="E127" s="39">
        <f>E129+E128</f>
        <v>0</v>
      </c>
      <c r="F127" s="39">
        <f>F129+F128</f>
        <v>0</v>
      </c>
      <c r="G127" s="39">
        <f>G129+G128</f>
        <v>0</v>
      </c>
      <c r="H127" s="39">
        <f>H129+H128</f>
        <v>2</v>
      </c>
      <c r="I127" s="13">
        <f t="shared" si="4"/>
        <v>2</v>
      </c>
      <c r="J127" s="13"/>
      <c r="K127" s="13"/>
      <c r="L127" s="13">
        <f t="shared" si="5"/>
        <v>2</v>
      </c>
      <c r="M127" s="13"/>
    </row>
    <row r="128" spans="1:13" ht="15.75" customHeight="1" hidden="1">
      <c r="A128" s="137"/>
      <c r="B128" s="114"/>
      <c r="C128" s="16" t="s">
        <v>37</v>
      </c>
      <c r="D128" s="24" t="s">
        <v>38</v>
      </c>
      <c r="E128" s="39"/>
      <c r="F128" s="39"/>
      <c r="G128" s="39"/>
      <c r="H128" s="39"/>
      <c r="I128" s="13">
        <f t="shared" si="4"/>
        <v>0</v>
      </c>
      <c r="J128" s="13"/>
      <c r="K128" s="13"/>
      <c r="L128" s="13">
        <f t="shared" si="5"/>
        <v>0</v>
      </c>
      <c r="M128" s="13"/>
    </row>
    <row r="129" spans="1:13" ht="15.75" customHeight="1" hidden="1">
      <c r="A129" s="137"/>
      <c r="B129" s="114"/>
      <c r="C129" s="16" t="s">
        <v>39</v>
      </c>
      <c r="D129" s="21" t="s">
        <v>40</v>
      </c>
      <c r="E129" s="39"/>
      <c r="F129" s="39"/>
      <c r="G129" s="39"/>
      <c r="H129" s="39">
        <v>2</v>
      </c>
      <c r="I129" s="13">
        <f t="shared" si="4"/>
        <v>2</v>
      </c>
      <c r="J129" s="13"/>
      <c r="K129" s="13"/>
      <c r="L129" s="13">
        <f t="shared" si="5"/>
        <v>2</v>
      </c>
      <c r="M129" s="13"/>
    </row>
    <row r="130" spans="1:13" ht="15.75" customHeight="1" hidden="1">
      <c r="A130" s="137"/>
      <c r="B130" s="114"/>
      <c r="C130" s="18" t="s">
        <v>41</v>
      </c>
      <c r="D130" s="20" t="s">
        <v>42</v>
      </c>
      <c r="E130" s="39"/>
      <c r="F130" s="39"/>
      <c r="G130" s="39"/>
      <c r="H130" s="39"/>
      <c r="I130" s="13">
        <f t="shared" si="4"/>
        <v>0</v>
      </c>
      <c r="J130" s="13"/>
      <c r="K130" s="13"/>
      <c r="L130" s="13">
        <f t="shared" si="5"/>
        <v>0</v>
      </c>
      <c r="M130" s="13"/>
    </row>
    <row r="131" spans="1:13" ht="15.75" customHeight="1" hidden="1">
      <c r="A131" s="137"/>
      <c r="B131" s="114"/>
      <c r="C131" s="18" t="s">
        <v>43</v>
      </c>
      <c r="D131" s="20" t="s">
        <v>44</v>
      </c>
      <c r="E131" s="39"/>
      <c r="F131" s="39"/>
      <c r="G131" s="39"/>
      <c r="H131" s="39"/>
      <c r="I131" s="13">
        <f t="shared" si="4"/>
        <v>0</v>
      </c>
      <c r="J131" s="13"/>
      <c r="K131" s="13"/>
      <c r="L131" s="13">
        <f t="shared" si="5"/>
        <v>0</v>
      </c>
      <c r="M131" s="13"/>
    </row>
    <row r="132" spans="1:13" ht="15.75" hidden="1">
      <c r="A132" s="137"/>
      <c r="B132" s="114"/>
      <c r="C132" s="18" t="s">
        <v>45</v>
      </c>
      <c r="D132" s="20" t="s">
        <v>46</v>
      </c>
      <c r="F132" s="39"/>
      <c r="G132" s="39"/>
      <c r="H132" s="39"/>
      <c r="I132" s="13">
        <f t="shared" si="4"/>
        <v>0</v>
      </c>
      <c r="J132" s="13"/>
      <c r="K132" s="13"/>
      <c r="L132" s="13">
        <f t="shared" si="5"/>
        <v>0</v>
      </c>
      <c r="M132" s="13">
        <f>H132/E137*100</f>
        <v>0</v>
      </c>
    </row>
    <row r="133" spans="1:13" ht="15.75" customHeight="1">
      <c r="A133" s="137"/>
      <c r="B133" s="114"/>
      <c r="C133" s="18" t="s">
        <v>47</v>
      </c>
      <c r="D133" s="20" t="s">
        <v>48</v>
      </c>
      <c r="E133" s="39"/>
      <c r="F133" s="39">
        <v>97428</v>
      </c>
      <c r="G133" s="39"/>
      <c r="H133" s="39"/>
      <c r="I133" s="13">
        <f t="shared" si="4"/>
        <v>0</v>
      </c>
      <c r="J133" s="13"/>
      <c r="K133" s="13">
        <f>H133/F133*100</f>
        <v>0</v>
      </c>
      <c r="L133" s="13">
        <f t="shared" si="5"/>
        <v>0</v>
      </c>
      <c r="M133" s="13"/>
    </row>
    <row r="134" spans="1:13" ht="31.5">
      <c r="A134" s="137"/>
      <c r="B134" s="114"/>
      <c r="C134" s="18" t="s">
        <v>49</v>
      </c>
      <c r="D134" s="20" t="s">
        <v>101</v>
      </c>
      <c r="E134" s="39">
        <v>142863.4</v>
      </c>
      <c r="F134" s="39">
        <f>2071594+81359.1+32000</f>
        <v>2184953.1</v>
      </c>
      <c r="G134" s="39">
        <f>468860.25+13831.05</f>
        <v>482691.3</v>
      </c>
      <c r="H134" s="39">
        <f>292465+8666.6</f>
        <v>301131.6</v>
      </c>
      <c r="I134" s="13">
        <f t="shared" si="4"/>
        <v>-181559.7</v>
      </c>
      <c r="J134" s="13">
        <f>H134/G134*100</f>
        <v>62.38595972208324</v>
      </c>
      <c r="K134" s="13">
        <f>H134/F134*100</f>
        <v>13.7820624158935</v>
      </c>
      <c r="L134" s="13">
        <f t="shared" si="5"/>
        <v>158268.19999999998</v>
      </c>
      <c r="M134" s="13">
        <f>H134/E134*100</f>
        <v>210.78288770951832</v>
      </c>
    </row>
    <row r="135" spans="1:13" ht="15.75">
      <c r="A135" s="137"/>
      <c r="B135" s="114"/>
      <c r="C135" s="18" t="s">
        <v>69</v>
      </c>
      <c r="D135" s="21" t="s">
        <v>70</v>
      </c>
      <c r="E135" s="39"/>
      <c r="F135" s="39">
        <v>9878.6</v>
      </c>
      <c r="G135" s="39"/>
      <c r="H135" s="39"/>
      <c r="I135" s="13">
        <f t="shared" si="4"/>
        <v>0</v>
      </c>
      <c r="J135" s="13"/>
      <c r="K135" s="13">
        <f>H135/F135*100</f>
        <v>0</v>
      </c>
      <c r="L135" s="13">
        <f t="shared" si="5"/>
        <v>0</v>
      </c>
      <c r="M135" s="13"/>
    </row>
    <row r="136" spans="1:13" ht="15.75" customHeight="1" hidden="1">
      <c r="A136" s="137"/>
      <c r="B136" s="114"/>
      <c r="C136" s="18" t="s">
        <v>80</v>
      </c>
      <c r="D136" s="20" t="s">
        <v>108</v>
      </c>
      <c r="E136" s="39"/>
      <c r="F136" s="39"/>
      <c r="G136" s="39"/>
      <c r="H136" s="39"/>
      <c r="I136" s="13">
        <f t="shared" si="4"/>
        <v>0</v>
      </c>
      <c r="J136" s="13"/>
      <c r="K136" s="13"/>
      <c r="L136" s="13">
        <f t="shared" si="5"/>
        <v>0</v>
      </c>
      <c r="M136" s="13" t="e">
        <f>H136/E136*100</f>
        <v>#DIV/0!</v>
      </c>
    </row>
    <row r="137" spans="1:13" ht="15.75" customHeight="1">
      <c r="A137" s="137"/>
      <c r="B137" s="114"/>
      <c r="C137" s="18" t="s">
        <v>51</v>
      </c>
      <c r="D137" s="20" t="s">
        <v>46</v>
      </c>
      <c r="E137" s="39">
        <v>-75663.7</v>
      </c>
      <c r="F137" s="39"/>
      <c r="G137" s="39"/>
      <c r="H137" s="39">
        <v>-51841.9</v>
      </c>
      <c r="I137" s="13">
        <f t="shared" si="4"/>
        <v>-51841.9</v>
      </c>
      <c r="J137" s="13"/>
      <c r="K137" s="13"/>
      <c r="L137" s="13">
        <f t="shared" si="5"/>
        <v>23821.799999999996</v>
      </c>
      <c r="M137" s="13">
        <f>H137/E137*100</f>
        <v>68.516210547462</v>
      </c>
    </row>
    <row r="138" spans="1:13" s="28" customFormat="1" ht="47.25">
      <c r="A138" s="137"/>
      <c r="B138" s="114"/>
      <c r="C138" s="36"/>
      <c r="D138" s="26" t="s">
        <v>56</v>
      </c>
      <c r="E138" s="40">
        <f>E139-E137</f>
        <v>142939.8</v>
      </c>
      <c r="F138" s="40">
        <f>F139-F137</f>
        <v>2292259.7</v>
      </c>
      <c r="G138" s="40">
        <f>G139-G137</f>
        <v>482691.3</v>
      </c>
      <c r="H138" s="40">
        <f>H139-H137</f>
        <v>301135.29</v>
      </c>
      <c r="I138" s="13">
        <f aca="true" t="shared" si="11" ref="I138:I201">H138-G138</f>
        <v>-181556.01</v>
      </c>
      <c r="J138" s="13">
        <f>H138/G138*100</f>
        <v>62.386724185830566</v>
      </c>
      <c r="K138" s="27">
        <f>H138/F138*100</f>
        <v>13.137049436414205</v>
      </c>
      <c r="L138" s="13">
        <f aca="true" t="shared" si="12" ref="L138:L201">H138-E138</f>
        <v>158195.49</v>
      </c>
      <c r="M138" s="13">
        <f>H138/E138*100</f>
        <v>210.672807713457</v>
      </c>
    </row>
    <row r="139" spans="1:85" s="33" customFormat="1" ht="15.75">
      <c r="A139" s="137"/>
      <c r="B139" s="114"/>
      <c r="C139" s="45"/>
      <c r="D139" s="26" t="s">
        <v>77</v>
      </c>
      <c r="E139" s="27">
        <f>SUM(E125:E127,E130:E137)</f>
        <v>67276.09999999999</v>
      </c>
      <c r="F139" s="27">
        <f>SUM(F125:F127,F130:F137)</f>
        <v>2292259.7</v>
      </c>
      <c r="G139" s="27">
        <f>SUM(G125:G127,G130:G137)</f>
        <v>482691.3</v>
      </c>
      <c r="H139" s="27">
        <f>SUM(H125:H127,H130:H137)</f>
        <v>249293.38999999998</v>
      </c>
      <c r="I139" s="27">
        <f t="shared" si="11"/>
        <v>-233397.91</v>
      </c>
      <c r="J139" s="27">
        <f>H139/G139*100</f>
        <v>51.64654718243315</v>
      </c>
      <c r="K139" s="27">
        <f>H139/F139*100</f>
        <v>10.875442690895799</v>
      </c>
      <c r="L139" s="27">
        <f t="shared" si="12"/>
        <v>182017.28999999998</v>
      </c>
      <c r="M139" s="27">
        <f>H139/E139*100</f>
        <v>370.5526776968344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</row>
    <row r="140" spans="1:13" s="28" customFormat="1" ht="31.5" customHeight="1" hidden="1">
      <c r="A140" s="128" t="s">
        <v>109</v>
      </c>
      <c r="B140" s="130" t="s">
        <v>110</v>
      </c>
      <c r="C140" s="18" t="s">
        <v>27</v>
      </c>
      <c r="D140" s="22" t="s">
        <v>28</v>
      </c>
      <c r="E140" s="13"/>
      <c r="F140" s="27"/>
      <c r="G140" s="27"/>
      <c r="H140" s="13"/>
      <c r="I140" s="13">
        <f t="shared" si="11"/>
        <v>0</v>
      </c>
      <c r="J140" s="13"/>
      <c r="K140" s="13"/>
      <c r="L140" s="13">
        <f t="shared" si="12"/>
        <v>0</v>
      </c>
      <c r="M140" s="13"/>
    </row>
    <row r="141" spans="1:13" ht="15.75" customHeight="1" hidden="1">
      <c r="A141" s="133"/>
      <c r="B141" s="139"/>
      <c r="C141" s="18" t="s">
        <v>35</v>
      </c>
      <c r="D141" s="20" t="s">
        <v>36</v>
      </c>
      <c r="E141" s="13">
        <f>E143+E142</f>
        <v>0</v>
      </c>
      <c r="F141" s="13">
        <f>F143+F142</f>
        <v>0</v>
      </c>
      <c r="G141" s="13">
        <f>G143+G142</f>
        <v>0</v>
      </c>
      <c r="H141" s="13">
        <f>H143+H142</f>
        <v>0</v>
      </c>
      <c r="I141" s="13">
        <f t="shared" si="11"/>
        <v>0</v>
      </c>
      <c r="J141" s="13"/>
      <c r="K141" s="13"/>
      <c r="L141" s="13">
        <f t="shared" si="12"/>
        <v>0</v>
      </c>
      <c r="M141" s="13"/>
    </row>
    <row r="142" spans="1:13" ht="15.75" customHeight="1" hidden="1">
      <c r="A142" s="133"/>
      <c r="B142" s="139"/>
      <c r="C142" s="16" t="s">
        <v>37</v>
      </c>
      <c r="D142" s="24" t="s">
        <v>38</v>
      </c>
      <c r="E142" s="13"/>
      <c r="F142" s="13"/>
      <c r="G142" s="13"/>
      <c r="H142" s="13"/>
      <c r="I142" s="13">
        <f t="shared" si="11"/>
        <v>0</v>
      </c>
      <c r="J142" s="13"/>
      <c r="K142" s="13"/>
      <c r="L142" s="13">
        <f t="shared" si="12"/>
        <v>0</v>
      </c>
      <c r="M142" s="13"/>
    </row>
    <row r="143" spans="1:13" ht="47.25" customHeight="1" hidden="1">
      <c r="A143" s="133"/>
      <c r="B143" s="139"/>
      <c r="C143" s="16" t="s">
        <v>39</v>
      </c>
      <c r="D143" s="21" t="s">
        <v>40</v>
      </c>
      <c r="E143" s="13"/>
      <c r="F143" s="13"/>
      <c r="G143" s="13"/>
      <c r="H143" s="13"/>
      <c r="I143" s="13">
        <f t="shared" si="11"/>
        <v>0</v>
      </c>
      <c r="J143" s="13"/>
      <c r="K143" s="13"/>
      <c r="L143" s="13">
        <f t="shared" si="12"/>
        <v>0</v>
      </c>
      <c r="M143" s="13"/>
    </row>
    <row r="144" spans="1:13" ht="15.75" customHeight="1" hidden="1">
      <c r="A144" s="133"/>
      <c r="B144" s="139"/>
      <c r="C144" s="18" t="s">
        <v>41</v>
      </c>
      <c r="D144" s="20" t="s">
        <v>42</v>
      </c>
      <c r="E144" s="13"/>
      <c r="F144" s="13"/>
      <c r="G144" s="13"/>
      <c r="H144" s="13"/>
      <c r="I144" s="13">
        <f t="shared" si="11"/>
        <v>0</v>
      </c>
      <c r="J144" s="13"/>
      <c r="K144" s="13"/>
      <c r="L144" s="13">
        <f t="shared" si="12"/>
        <v>0</v>
      </c>
      <c r="M144" s="13"/>
    </row>
    <row r="145" spans="1:13" ht="15.75" customHeight="1">
      <c r="A145" s="133"/>
      <c r="B145" s="139"/>
      <c r="C145" s="18" t="s">
        <v>43</v>
      </c>
      <c r="D145" s="20" t="s">
        <v>44</v>
      </c>
      <c r="E145" s="13"/>
      <c r="F145" s="46">
        <v>836.6</v>
      </c>
      <c r="G145" s="46"/>
      <c r="H145" s="13"/>
      <c r="I145" s="13">
        <f t="shared" si="11"/>
        <v>0</v>
      </c>
      <c r="J145" s="13"/>
      <c r="K145" s="13">
        <f>H145/F145*100</f>
        <v>0</v>
      </c>
      <c r="L145" s="13">
        <f t="shared" si="12"/>
        <v>0</v>
      </c>
      <c r="M145" s="13"/>
    </row>
    <row r="146" spans="1:13" ht="15.75" hidden="1">
      <c r="A146" s="133"/>
      <c r="B146" s="139"/>
      <c r="C146" s="18" t="s">
        <v>45</v>
      </c>
      <c r="D146" s="20" t="s">
        <v>46</v>
      </c>
      <c r="F146" s="46"/>
      <c r="G146" s="46"/>
      <c r="H146" s="13"/>
      <c r="I146" s="13">
        <f t="shared" si="11"/>
        <v>0</v>
      </c>
      <c r="J146" s="13"/>
      <c r="K146" s="13"/>
      <c r="L146" s="13">
        <f t="shared" si="12"/>
        <v>0</v>
      </c>
      <c r="M146" s="13">
        <f>H146/E150*100</f>
        <v>0</v>
      </c>
    </row>
    <row r="147" spans="1:13" ht="15.75" customHeight="1" hidden="1">
      <c r="A147" s="133"/>
      <c r="B147" s="139"/>
      <c r="C147" s="18" t="s">
        <v>47</v>
      </c>
      <c r="D147" s="20" t="s">
        <v>48</v>
      </c>
      <c r="F147" s="13"/>
      <c r="G147" s="13"/>
      <c r="H147" s="13"/>
      <c r="I147" s="13">
        <f t="shared" si="11"/>
        <v>0</v>
      </c>
      <c r="J147" s="13"/>
      <c r="K147" s="13"/>
      <c r="L147" s="13">
        <f t="shared" si="12"/>
        <v>0</v>
      </c>
      <c r="M147" s="13"/>
    </row>
    <row r="148" spans="1:13" ht="15.75" customHeight="1">
      <c r="A148" s="133"/>
      <c r="B148" s="139"/>
      <c r="C148" s="18" t="s">
        <v>49</v>
      </c>
      <c r="D148" s="20" t="s">
        <v>101</v>
      </c>
      <c r="E148" s="13">
        <v>181.5</v>
      </c>
      <c r="F148" s="13">
        <f>2500+590.9+50</f>
        <v>3140.9</v>
      </c>
      <c r="G148" s="13">
        <f>484.6+147.72</f>
        <v>632.32</v>
      </c>
      <c r="H148" s="13">
        <f>484.6+147.72</f>
        <v>632.32</v>
      </c>
      <c r="I148" s="13">
        <f t="shared" si="11"/>
        <v>0</v>
      </c>
      <c r="J148" s="13">
        <f>H148/G148*100</f>
        <v>100</v>
      </c>
      <c r="K148" s="13">
        <f>H148/F148*100</f>
        <v>20.131809354006812</v>
      </c>
      <c r="L148" s="13">
        <f t="shared" si="12"/>
        <v>450.82000000000005</v>
      </c>
      <c r="M148" s="13">
        <f>H148/E148*100</f>
        <v>348.38567493112953</v>
      </c>
    </row>
    <row r="149" spans="1:13" ht="15.75" hidden="1">
      <c r="A149" s="133"/>
      <c r="B149" s="139"/>
      <c r="C149" s="18" t="s">
        <v>69</v>
      </c>
      <c r="D149" s="21" t="s">
        <v>70</v>
      </c>
      <c r="E149" s="13"/>
      <c r="F149" s="13"/>
      <c r="G149" s="13"/>
      <c r="H149" s="13"/>
      <c r="I149" s="13">
        <f t="shared" si="11"/>
        <v>0</v>
      </c>
      <c r="J149" s="13"/>
      <c r="K149" s="13"/>
      <c r="L149" s="13">
        <f t="shared" si="12"/>
        <v>0</v>
      </c>
      <c r="M149" s="13"/>
    </row>
    <row r="150" spans="1:13" ht="15.75">
      <c r="A150" s="133"/>
      <c r="B150" s="139"/>
      <c r="C150" s="18" t="s">
        <v>51</v>
      </c>
      <c r="D150" s="20" t="s">
        <v>46</v>
      </c>
      <c r="E150" s="13">
        <v>-659.7</v>
      </c>
      <c r="F150" s="13"/>
      <c r="G150" s="13"/>
      <c r="H150" s="13">
        <v>-25.59</v>
      </c>
      <c r="I150" s="13">
        <f t="shared" si="11"/>
        <v>-25.59</v>
      </c>
      <c r="J150" s="13"/>
      <c r="K150" s="13"/>
      <c r="L150" s="13">
        <f t="shared" si="12"/>
        <v>634.11</v>
      </c>
      <c r="M150" s="13">
        <f>H150/E150*100</f>
        <v>3.879035925420646</v>
      </c>
    </row>
    <row r="151" spans="1:13" s="28" customFormat="1" ht="47.25">
      <c r="A151" s="133"/>
      <c r="B151" s="139"/>
      <c r="C151" s="36"/>
      <c r="D151" s="26" t="s">
        <v>56</v>
      </c>
      <c r="E151" s="27">
        <f>E152-E150</f>
        <v>181.5</v>
      </c>
      <c r="F151" s="27">
        <f>F152-F150</f>
        <v>3977.5</v>
      </c>
      <c r="G151" s="27">
        <f>G152-G150</f>
        <v>632.32</v>
      </c>
      <c r="H151" s="27">
        <f>H152-H150</f>
        <v>632.32</v>
      </c>
      <c r="I151" s="13">
        <f t="shared" si="11"/>
        <v>0</v>
      </c>
      <c r="J151" s="13">
        <f>H151/G151*100</f>
        <v>100</v>
      </c>
      <c r="K151" s="27">
        <f>H151/F151*100</f>
        <v>15.89742300439975</v>
      </c>
      <c r="L151" s="13">
        <f t="shared" si="12"/>
        <v>450.82000000000005</v>
      </c>
      <c r="M151" s="13">
        <f>H151/E151*100</f>
        <v>348.38567493112953</v>
      </c>
    </row>
    <row r="152" spans="1:85" s="33" customFormat="1" ht="15.75">
      <c r="A152" s="129"/>
      <c r="B152" s="140"/>
      <c r="C152" s="47"/>
      <c r="D152" s="26" t="s">
        <v>77</v>
      </c>
      <c r="E152" s="40">
        <f>SUM(E140:E141,E144:E150)</f>
        <v>-478.20000000000005</v>
      </c>
      <c r="F152" s="40">
        <f>SUM(F140:F141,F144:F150)</f>
        <v>3977.5</v>
      </c>
      <c r="G152" s="40">
        <f>SUM(G140:G141,G144:G150)</f>
        <v>632.32</v>
      </c>
      <c r="H152" s="40">
        <f>SUM(H140:H141,H144:H150)</f>
        <v>606.73</v>
      </c>
      <c r="I152" s="27">
        <f t="shared" si="11"/>
        <v>-25.590000000000032</v>
      </c>
      <c r="J152" s="27">
        <f>H152/G152*100</f>
        <v>95.95299848178136</v>
      </c>
      <c r="K152" s="27">
        <f>H152/F152*100</f>
        <v>15.254054054054054</v>
      </c>
      <c r="L152" s="27">
        <f t="shared" si="12"/>
        <v>1084.93</v>
      </c>
      <c r="M152" s="27">
        <f>H152/E152*100</f>
        <v>-126.87787536595565</v>
      </c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</row>
    <row r="153" spans="1:13" ht="45" customHeight="1">
      <c r="A153" s="137" t="s">
        <v>111</v>
      </c>
      <c r="B153" s="114" t="s">
        <v>112</v>
      </c>
      <c r="C153" s="18" t="s">
        <v>27</v>
      </c>
      <c r="D153" s="22" t="s">
        <v>28</v>
      </c>
      <c r="E153" s="13"/>
      <c r="F153" s="13"/>
      <c r="G153" s="13"/>
      <c r="H153" s="13">
        <v>510</v>
      </c>
      <c r="I153" s="13">
        <f t="shared" si="11"/>
        <v>510</v>
      </c>
      <c r="J153" s="13"/>
      <c r="K153" s="13"/>
      <c r="L153" s="13">
        <f t="shared" si="12"/>
        <v>510</v>
      </c>
      <c r="M153" s="13"/>
    </row>
    <row r="154" spans="1:13" ht="15.75" customHeight="1" hidden="1">
      <c r="A154" s="137"/>
      <c r="B154" s="114"/>
      <c r="C154" s="18" t="s">
        <v>113</v>
      </c>
      <c r="D154" s="20" t="s">
        <v>114</v>
      </c>
      <c r="E154" s="13"/>
      <c r="F154" s="13"/>
      <c r="G154" s="13"/>
      <c r="H154" s="13"/>
      <c r="I154" s="13">
        <f t="shared" si="11"/>
        <v>0</v>
      </c>
      <c r="J154" s="13"/>
      <c r="K154" s="13"/>
      <c r="L154" s="13">
        <f t="shared" si="12"/>
        <v>0</v>
      </c>
      <c r="M154" s="13"/>
    </row>
    <row r="155" spans="1:13" ht="15.75" hidden="1">
      <c r="A155" s="138"/>
      <c r="B155" s="141"/>
      <c r="C155" s="18" t="s">
        <v>35</v>
      </c>
      <c r="D155" s="20" t="s">
        <v>36</v>
      </c>
      <c r="E155" s="13">
        <f>E156</f>
        <v>0</v>
      </c>
      <c r="F155" s="13">
        <f>F156</f>
        <v>0</v>
      </c>
      <c r="G155" s="13">
        <f>G156</f>
        <v>0</v>
      </c>
      <c r="H155" s="13">
        <f>H156</f>
        <v>0</v>
      </c>
      <c r="I155" s="13">
        <f t="shared" si="11"/>
        <v>0</v>
      </c>
      <c r="J155" s="13"/>
      <c r="K155" s="13"/>
      <c r="L155" s="13">
        <f t="shared" si="12"/>
        <v>0</v>
      </c>
      <c r="M155" s="13"/>
    </row>
    <row r="156" spans="1:13" ht="47.25" customHeight="1" hidden="1">
      <c r="A156" s="138"/>
      <c r="B156" s="141"/>
      <c r="C156" s="16" t="s">
        <v>39</v>
      </c>
      <c r="D156" s="21" t="s">
        <v>40</v>
      </c>
      <c r="E156" s="13"/>
      <c r="F156" s="13"/>
      <c r="G156" s="13"/>
      <c r="H156" s="13"/>
      <c r="I156" s="13">
        <f t="shared" si="11"/>
        <v>0</v>
      </c>
      <c r="J156" s="13"/>
      <c r="K156" s="13"/>
      <c r="L156" s="13">
        <f t="shared" si="12"/>
        <v>0</v>
      </c>
      <c r="M156" s="13" t="e">
        <f>H156/E156*100</f>
        <v>#DIV/0!</v>
      </c>
    </row>
    <row r="157" spans="1:13" ht="15.75" customHeight="1">
      <c r="A157" s="138"/>
      <c r="B157" s="141"/>
      <c r="C157" s="18" t="s">
        <v>41</v>
      </c>
      <c r="D157" s="20" t="s">
        <v>42</v>
      </c>
      <c r="E157" s="13"/>
      <c r="F157" s="13"/>
      <c r="G157" s="13"/>
      <c r="H157" s="13">
        <v>163.25</v>
      </c>
      <c r="I157" s="13">
        <f t="shared" si="11"/>
        <v>163.25</v>
      </c>
      <c r="J157" s="13"/>
      <c r="K157" s="13"/>
      <c r="L157" s="13">
        <f t="shared" si="12"/>
        <v>163.25</v>
      </c>
      <c r="M157" s="13"/>
    </row>
    <row r="158" spans="1:13" ht="31.5">
      <c r="A158" s="138"/>
      <c r="B158" s="141"/>
      <c r="C158" s="18" t="s">
        <v>43</v>
      </c>
      <c r="D158" s="20" t="s">
        <v>44</v>
      </c>
      <c r="E158" s="13"/>
      <c r="F158" s="13">
        <v>684.9</v>
      </c>
      <c r="G158" s="13"/>
      <c r="H158" s="13"/>
      <c r="I158" s="13">
        <f t="shared" si="11"/>
        <v>0</v>
      </c>
      <c r="J158" s="13"/>
      <c r="K158" s="13">
        <f>H158/F158*100</f>
        <v>0</v>
      </c>
      <c r="L158" s="13">
        <f t="shared" si="12"/>
        <v>0</v>
      </c>
      <c r="M158" s="13"/>
    </row>
    <row r="159" spans="1:13" ht="15.75" hidden="1">
      <c r="A159" s="138"/>
      <c r="B159" s="141"/>
      <c r="C159" s="18" t="s">
        <v>45</v>
      </c>
      <c r="D159" s="20" t="s">
        <v>46</v>
      </c>
      <c r="F159" s="13"/>
      <c r="G159" s="13"/>
      <c r="H159" s="13"/>
      <c r="I159" s="13">
        <f t="shared" si="11"/>
        <v>0</v>
      </c>
      <c r="J159" s="13"/>
      <c r="K159" s="13"/>
      <c r="L159" s="13">
        <f t="shared" si="12"/>
        <v>0</v>
      </c>
      <c r="M159" s="13">
        <f>H159/E163*100</f>
        <v>0</v>
      </c>
    </row>
    <row r="160" spans="1:13" ht="15.75" customHeight="1" hidden="1">
      <c r="A160" s="138"/>
      <c r="B160" s="141"/>
      <c r="C160" s="18" t="s">
        <v>47</v>
      </c>
      <c r="D160" s="20" t="s">
        <v>48</v>
      </c>
      <c r="E160" s="13"/>
      <c r="F160" s="13"/>
      <c r="G160" s="13"/>
      <c r="H160" s="13"/>
      <c r="I160" s="13">
        <f t="shared" si="11"/>
        <v>0</v>
      </c>
      <c r="J160" s="13"/>
      <c r="K160" s="13"/>
      <c r="L160" s="13">
        <f t="shared" si="12"/>
        <v>0</v>
      </c>
      <c r="M160" s="13"/>
    </row>
    <row r="161" spans="1:13" ht="31.5">
      <c r="A161" s="138"/>
      <c r="B161" s="141"/>
      <c r="C161" s="18" t="s">
        <v>49</v>
      </c>
      <c r="D161" s="20" t="s">
        <v>101</v>
      </c>
      <c r="E161" s="13">
        <v>330.2</v>
      </c>
      <c r="F161" s="13">
        <f>3800+1252+30</f>
        <v>5082</v>
      </c>
      <c r="G161" s="13">
        <f>714.9+313</f>
        <v>1027.9</v>
      </c>
      <c r="H161" s="13">
        <f>714.9+313</f>
        <v>1027.9</v>
      </c>
      <c r="I161" s="13">
        <f t="shared" si="11"/>
        <v>0</v>
      </c>
      <c r="J161" s="13">
        <f>H161/G161*100</f>
        <v>100</v>
      </c>
      <c r="K161" s="13">
        <f>H161/F161*100</f>
        <v>20.2262888626525</v>
      </c>
      <c r="L161" s="13">
        <f t="shared" si="12"/>
        <v>697.7</v>
      </c>
      <c r="M161" s="13">
        <f>H161/E161*100</f>
        <v>311.29618413082983</v>
      </c>
    </row>
    <row r="162" spans="1:13" ht="15.75" hidden="1">
      <c r="A162" s="138"/>
      <c r="B162" s="141"/>
      <c r="C162" s="18" t="s">
        <v>69</v>
      </c>
      <c r="D162" s="21" t="s">
        <v>70</v>
      </c>
      <c r="E162" s="13"/>
      <c r="F162" s="13"/>
      <c r="G162" s="13"/>
      <c r="H162" s="13"/>
      <c r="I162" s="13">
        <f t="shared" si="11"/>
        <v>0</v>
      </c>
      <c r="J162" s="13"/>
      <c r="K162" s="13"/>
      <c r="L162" s="13">
        <f t="shared" si="12"/>
        <v>0</v>
      </c>
      <c r="M162" s="13"/>
    </row>
    <row r="163" spans="1:13" ht="15.75">
      <c r="A163" s="138"/>
      <c r="B163" s="141"/>
      <c r="C163" s="18" t="s">
        <v>51</v>
      </c>
      <c r="D163" s="20" t="s">
        <v>46</v>
      </c>
      <c r="E163" s="13">
        <v>-679.5</v>
      </c>
      <c r="F163" s="13"/>
      <c r="G163" s="13"/>
      <c r="H163" s="13">
        <v>-244.16</v>
      </c>
      <c r="I163" s="13">
        <f t="shared" si="11"/>
        <v>-244.16</v>
      </c>
      <c r="J163" s="13"/>
      <c r="K163" s="13"/>
      <c r="L163" s="13">
        <f t="shared" si="12"/>
        <v>435.34000000000003</v>
      </c>
      <c r="M163" s="13">
        <f>H163/E163*100</f>
        <v>35.932303164091245</v>
      </c>
    </row>
    <row r="164" spans="1:13" s="28" customFormat="1" ht="31.5" customHeight="1">
      <c r="A164" s="138"/>
      <c r="B164" s="141"/>
      <c r="C164" s="36"/>
      <c r="D164" s="26" t="s">
        <v>56</v>
      </c>
      <c r="E164" s="27">
        <f>E165-E163</f>
        <v>330.2</v>
      </c>
      <c r="F164" s="27">
        <f>F165-F163</f>
        <v>5766.9</v>
      </c>
      <c r="G164" s="27">
        <f>G165-G163</f>
        <v>1027.9</v>
      </c>
      <c r="H164" s="27">
        <f>H165-H163</f>
        <v>1701.15</v>
      </c>
      <c r="I164" s="13">
        <f t="shared" si="11"/>
        <v>673.25</v>
      </c>
      <c r="J164" s="13">
        <f>H164/G164*100</f>
        <v>165.49761649965947</v>
      </c>
      <c r="K164" s="27">
        <f>H164/F164*100</f>
        <v>29.49851740103002</v>
      </c>
      <c r="L164" s="13">
        <f t="shared" si="12"/>
        <v>1370.95</v>
      </c>
      <c r="M164" s="13">
        <f>H164/E164*100</f>
        <v>515.1877649909147</v>
      </c>
    </row>
    <row r="165" spans="1:85" s="33" customFormat="1" ht="15.75">
      <c r="A165" s="138"/>
      <c r="B165" s="141"/>
      <c r="C165" s="47"/>
      <c r="D165" s="26" t="s">
        <v>77</v>
      </c>
      <c r="E165" s="40">
        <f>SUM(E153:E155,E157:E163)</f>
        <v>-349.3</v>
      </c>
      <c r="F165" s="40">
        <f>SUM(F153:F155,F157:F163)</f>
        <v>5766.9</v>
      </c>
      <c r="G165" s="40">
        <f>SUM(G153:G155,G157:G163)</f>
        <v>1027.9</v>
      </c>
      <c r="H165" s="40">
        <f>SUM(H153:H155,H157:H163)</f>
        <v>1456.99</v>
      </c>
      <c r="I165" s="27">
        <f t="shared" si="11"/>
        <v>429.0899999999999</v>
      </c>
      <c r="J165" s="27">
        <f>H165/G165*100</f>
        <v>141.7443331063333</v>
      </c>
      <c r="K165" s="27">
        <f>H165/F165*100</f>
        <v>25.264700272243324</v>
      </c>
      <c r="L165" s="27">
        <f t="shared" si="12"/>
        <v>1806.29</v>
      </c>
      <c r="M165" s="27">
        <f>H165/E165*100</f>
        <v>-417.1170913255081</v>
      </c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</row>
    <row r="166" spans="1:13" ht="31.5" customHeight="1" hidden="1">
      <c r="A166" s="137" t="s">
        <v>115</v>
      </c>
      <c r="B166" s="114" t="s">
        <v>116</v>
      </c>
      <c r="C166" s="18" t="s">
        <v>27</v>
      </c>
      <c r="D166" s="22" t="s">
        <v>28</v>
      </c>
      <c r="E166" s="13"/>
      <c r="F166" s="13"/>
      <c r="G166" s="13"/>
      <c r="H166" s="13"/>
      <c r="I166" s="13">
        <f t="shared" si="11"/>
        <v>0</v>
      </c>
      <c r="J166" s="13"/>
      <c r="K166" s="13"/>
      <c r="L166" s="13">
        <f t="shared" si="12"/>
        <v>0</v>
      </c>
      <c r="M166" s="13"/>
    </row>
    <row r="167" spans="1:13" ht="15.75" customHeight="1" hidden="1">
      <c r="A167" s="137"/>
      <c r="B167" s="114"/>
      <c r="C167" s="18" t="s">
        <v>113</v>
      </c>
      <c r="D167" s="20" t="s">
        <v>114</v>
      </c>
      <c r="E167" s="13"/>
      <c r="F167" s="13"/>
      <c r="G167" s="13"/>
      <c r="H167" s="13"/>
      <c r="I167" s="13">
        <f t="shared" si="11"/>
        <v>0</v>
      </c>
      <c r="J167" s="13"/>
      <c r="K167" s="13"/>
      <c r="L167" s="13">
        <f t="shared" si="12"/>
        <v>0</v>
      </c>
      <c r="M167" s="13"/>
    </row>
    <row r="168" spans="1:13" ht="15.75" hidden="1">
      <c r="A168" s="138"/>
      <c r="B168" s="141"/>
      <c r="C168" s="18" t="s">
        <v>35</v>
      </c>
      <c r="D168" s="20" t="s">
        <v>36</v>
      </c>
      <c r="E168" s="13">
        <f>E169</f>
        <v>0</v>
      </c>
      <c r="F168" s="13">
        <f>F169</f>
        <v>0</v>
      </c>
      <c r="G168" s="13">
        <f>G169</f>
        <v>0</v>
      </c>
      <c r="H168" s="13">
        <f>H169</f>
        <v>0</v>
      </c>
      <c r="I168" s="13">
        <f t="shared" si="11"/>
        <v>0</v>
      </c>
      <c r="J168" s="13"/>
      <c r="K168" s="13"/>
      <c r="L168" s="13">
        <f t="shared" si="12"/>
        <v>0</v>
      </c>
      <c r="M168" s="13"/>
    </row>
    <row r="169" spans="1:13" ht="47.25" customHeight="1" hidden="1">
      <c r="A169" s="138"/>
      <c r="B169" s="141"/>
      <c r="C169" s="16" t="s">
        <v>39</v>
      </c>
      <c r="D169" s="21" t="s">
        <v>40</v>
      </c>
      <c r="E169" s="13"/>
      <c r="F169" s="13"/>
      <c r="G169" s="13"/>
      <c r="H169" s="13"/>
      <c r="I169" s="13">
        <f t="shared" si="11"/>
        <v>0</v>
      </c>
      <c r="J169" s="13"/>
      <c r="K169" s="13"/>
      <c r="L169" s="13">
        <f t="shared" si="12"/>
        <v>0</v>
      </c>
      <c r="M169" s="13"/>
    </row>
    <row r="170" spans="1:13" ht="15.75" hidden="1">
      <c r="A170" s="138"/>
      <c r="B170" s="141"/>
      <c r="C170" s="18" t="s">
        <v>41</v>
      </c>
      <c r="D170" s="20" t="s">
        <v>42</v>
      </c>
      <c r="E170" s="13"/>
      <c r="F170" s="13"/>
      <c r="G170" s="13"/>
      <c r="H170" s="13"/>
      <c r="I170" s="13">
        <f t="shared" si="11"/>
        <v>0</v>
      </c>
      <c r="J170" s="13"/>
      <c r="K170" s="13"/>
      <c r="L170" s="13">
        <f t="shared" si="12"/>
        <v>0</v>
      </c>
      <c r="M170" s="13"/>
    </row>
    <row r="171" spans="1:13" ht="31.5">
      <c r="A171" s="138"/>
      <c r="B171" s="141"/>
      <c r="C171" s="18" t="s">
        <v>43</v>
      </c>
      <c r="D171" s="20" t="s">
        <v>44</v>
      </c>
      <c r="E171" s="13">
        <v>3.1</v>
      </c>
      <c r="F171" s="13">
        <v>391.9</v>
      </c>
      <c r="G171" s="13"/>
      <c r="H171" s="13"/>
      <c r="I171" s="13">
        <f t="shared" si="11"/>
        <v>0</v>
      </c>
      <c r="J171" s="13"/>
      <c r="K171" s="13">
        <f>H171/F171*100</f>
        <v>0</v>
      </c>
      <c r="L171" s="13">
        <f t="shared" si="12"/>
        <v>-3.1</v>
      </c>
      <c r="M171" s="13">
        <f>H171/E171*100</f>
        <v>0</v>
      </c>
    </row>
    <row r="172" spans="1:13" ht="15.75" customHeight="1" hidden="1">
      <c r="A172" s="138"/>
      <c r="B172" s="141"/>
      <c r="C172" s="18" t="s">
        <v>45</v>
      </c>
      <c r="D172" s="20" t="s">
        <v>46</v>
      </c>
      <c r="F172" s="13"/>
      <c r="G172" s="13"/>
      <c r="H172" s="13"/>
      <c r="I172" s="13">
        <f t="shared" si="11"/>
        <v>0</v>
      </c>
      <c r="J172" s="13"/>
      <c r="K172" s="13"/>
      <c r="L172" s="13">
        <f t="shared" si="12"/>
        <v>0</v>
      </c>
      <c r="M172" s="13">
        <f>H172/E176*100</f>
        <v>0</v>
      </c>
    </row>
    <row r="173" spans="1:13" ht="15.75" customHeight="1" hidden="1">
      <c r="A173" s="138"/>
      <c r="B173" s="141"/>
      <c r="C173" s="18" t="s">
        <v>47</v>
      </c>
      <c r="D173" s="20" t="s">
        <v>48</v>
      </c>
      <c r="E173" s="13"/>
      <c r="F173" s="13"/>
      <c r="G173" s="13"/>
      <c r="H173" s="13"/>
      <c r="I173" s="13">
        <f t="shared" si="11"/>
        <v>0</v>
      </c>
      <c r="J173" s="13"/>
      <c r="K173" s="13"/>
      <c r="L173" s="13">
        <f t="shared" si="12"/>
        <v>0</v>
      </c>
      <c r="M173" s="13"/>
    </row>
    <row r="174" spans="1:13" ht="31.5">
      <c r="A174" s="138"/>
      <c r="B174" s="141"/>
      <c r="C174" s="18" t="s">
        <v>49</v>
      </c>
      <c r="D174" s="20" t="s">
        <v>101</v>
      </c>
      <c r="E174" s="13">
        <v>330.1</v>
      </c>
      <c r="F174" s="13">
        <f>3850+1252+50</f>
        <v>5152</v>
      </c>
      <c r="G174" s="13">
        <f>992</f>
        <v>992</v>
      </c>
      <c r="H174" s="13">
        <f>992+313</f>
        <v>1305</v>
      </c>
      <c r="I174" s="13">
        <f t="shared" si="11"/>
        <v>313</v>
      </c>
      <c r="J174" s="13">
        <f>H174/G174*100</f>
        <v>131.5524193548387</v>
      </c>
      <c r="K174" s="13">
        <f>H174/F174*100</f>
        <v>25.329968944099377</v>
      </c>
      <c r="L174" s="13">
        <f t="shared" si="12"/>
        <v>974.9</v>
      </c>
      <c r="M174" s="13">
        <f>H174/E174*100</f>
        <v>395.33474704634955</v>
      </c>
    </row>
    <row r="175" spans="1:13" ht="15.75" customHeight="1" hidden="1">
      <c r="A175" s="138"/>
      <c r="B175" s="141"/>
      <c r="C175" s="18" t="s">
        <v>69</v>
      </c>
      <c r="D175" s="21" t="s">
        <v>70</v>
      </c>
      <c r="E175" s="13"/>
      <c r="F175" s="13"/>
      <c r="G175" s="13"/>
      <c r="H175" s="13"/>
      <c r="I175" s="13">
        <f t="shared" si="11"/>
        <v>0</v>
      </c>
      <c r="J175" s="13"/>
      <c r="K175" s="13"/>
      <c r="L175" s="13">
        <f t="shared" si="12"/>
        <v>0</v>
      </c>
      <c r="M175" s="13"/>
    </row>
    <row r="176" spans="1:13" ht="15.75" customHeight="1">
      <c r="A176" s="138"/>
      <c r="B176" s="141"/>
      <c r="C176" s="18" t="s">
        <v>51</v>
      </c>
      <c r="D176" s="20" t="s">
        <v>46</v>
      </c>
      <c r="E176" s="13">
        <v>-1007.6</v>
      </c>
      <c r="F176" s="13"/>
      <c r="G176" s="13"/>
      <c r="H176" s="13">
        <v>-2047.16</v>
      </c>
      <c r="I176" s="13">
        <f t="shared" si="11"/>
        <v>-2047.16</v>
      </c>
      <c r="J176" s="13"/>
      <c r="K176" s="13"/>
      <c r="L176" s="13">
        <f t="shared" si="12"/>
        <v>-1039.56</v>
      </c>
      <c r="M176" s="13">
        <f>H176/E176*100</f>
        <v>203.1718936085748</v>
      </c>
    </row>
    <row r="177" spans="1:13" s="28" customFormat="1" ht="47.25">
      <c r="A177" s="138"/>
      <c r="B177" s="141"/>
      <c r="C177" s="36"/>
      <c r="D177" s="26" t="s">
        <v>56</v>
      </c>
      <c r="E177" s="27">
        <f>E178-E176</f>
        <v>333.20000000000005</v>
      </c>
      <c r="F177" s="27">
        <f>F178-F176</f>
        <v>5543.9</v>
      </c>
      <c r="G177" s="27">
        <f>G178-G176</f>
        <v>992</v>
      </c>
      <c r="H177" s="27">
        <f>H178-H176</f>
        <v>1305</v>
      </c>
      <c r="I177" s="13">
        <f t="shared" si="11"/>
        <v>313</v>
      </c>
      <c r="J177" s="13">
        <f>H177/G177*100</f>
        <v>131.5524193548387</v>
      </c>
      <c r="K177" s="27">
        <f>H177/F177*100</f>
        <v>23.539385631053953</v>
      </c>
      <c r="L177" s="13">
        <f t="shared" si="12"/>
        <v>971.8</v>
      </c>
      <c r="M177" s="13">
        <f>H177/E177*100</f>
        <v>391.656662665066</v>
      </c>
    </row>
    <row r="178" spans="1:85" s="33" customFormat="1" ht="15.75">
      <c r="A178" s="138"/>
      <c r="B178" s="141"/>
      <c r="C178" s="47"/>
      <c r="D178" s="26" t="s">
        <v>77</v>
      </c>
      <c r="E178" s="40">
        <f>SUM(E166:E168,E170:E176)</f>
        <v>-674.4</v>
      </c>
      <c r="F178" s="40">
        <f>SUM(F166:F168,F170:F176)</f>
        <v>5543.9</v>
      </c>
      <c r="G178" s="40">
        <f>SUM(G166:G168,G170:G176)</f>
        <v>992</v>
      </c>
      <c r="H178" s="40">
        <f>SUM(H166:H168,H170:H176)</f>
        <v>-742.1600000000001</v>
      </c>
      <c r="I178" s="27">
        <f t="shared" si="11"/>
        <v>-1734.16</v>
      </c>
      <c r="J178" s="27">
        <f>H178/G178*100</f>
        <v>-74.81451612903227</v>
      </c>
      <c r="K178" s="27">
        <f>H178/F178*100</f>
        <v>-13.386965854362455</v>
      </c>
      <c r="L178" s="27">
        <f t="shared" si="12"/>
        <v>-67.7600000000001</v>
      </c>
      <c r="M178" s="27">
        <f>H178/E178*100</f>
        <v>110.04744958481616</v>
      </c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</row>
    <row r="179" spans="1:13" ht="31.5" customHeight="1" hidden="1">
      <c r="A179" s="137" t="s">
        <v>117</v>
      </c>
      <c r="B179" s="114" t="s">
        <v>118</v>
      </c>
      <c r="C179" s="18" t="s">
        <v>27</v>
      </c>
      <c r="D179" s="22" t="s">
        <v>28</v>
      </c>
      <c r="E179" s="13"/>
      <c r="F179" s="13"/>
      <c r="G179" s="13"/>
      <c r="H179" s="13"/>
      <c r="I179" s="13">
        <f t="shared" si="11"/>
        <v>0</v>
      </c>
      <c r="J179" s="13"/>
      <c r="K179" s="13"/>
      <c r="L179" s="13">
        <f t="shared" si="12"/>
        <v>0</v>
      </c>
      <c r="M179" s="13"/>
    </row>
    <row r="180" spans="1:13" ht="15.75" customHeight="1" hidden="1">
      <c r="A180" s="137"/>
      <c r="B180" s="114"/>
      <c r="C180" s="18" t="s">
        <v>113</v>
      </c>
      <c r="D180" s="20" t="s">
        <v>114</v>
      </c>
      <c r="E180" s="13"/>
      <c r="F180" s="13"/>
      <c r="G180" s="13"/>
      <c r="H180" s="13"/>
      <c r="I180" s="13">
        <f t="shared" si="11"/>
        <v>0</v>
      </c>
      <c r="J180" s="13"/>
      <c r="K180" s="13"/>
      <c r="L180" s="13">
        <f t="shared" si="12"/>
        <v>0</v>
      </c>
      <c r="M180" s="13"/>
    </row>
    <row r="181" spans="1:13" ht="15.75" customHeight="1">
      <c r="A181" s="138"/>
      <c r="B181" s="141"/>
      <c r="C181" s="18" t="s">
        <v>35</v>
      </c>
      <c r="D181" s="20" t="s">
        <v>36</v>
      </c>
      <c r="E181" s="13">
        <f>SUM(E182:E183)</f>
        <v>31.1</v>
      </c>
      <c r="F181" s="13">
        <f>SUM(F182:F183)</f>
        <v>0</v>
      </c>
      <c r="G181" s="13">
        <f>SUM(G182:G183)</f>
        <v>0</v>
      </c>
      <c r="H181" s="13">
        <f>SUM(H182:H183)</f>
        <v>0</v>
      </c>
      <c r="I181" s="13">
        <f t="shared" si="11"/>
        <v>0</v>
      </c>
      <c r="J181" s="13"/>
      <c r="K181" s="13"/>
      <c r="L181" s="13">
        <f t="shared" si="12"/>
        <v>-31.1</v>
      </c>
      <c r="M181" s="13">
        <f>H181/E181*100</f>
        <v>0</v>
      </c>
    </row>
    <row r="182" spans="1:13" ht="63" customHeight="1" hidden="1">
      <c r="A182" s="138"/>
      <c r="B182" s="141"/>
      <c r="C182" s="16" t="s">
        <v>37</v>
      </c>
      <c r="D182" s="24" t="s">
        <v>38</v>
      </c>
      <c r="E182" s="13"/>
      <c r="F182" s="13"/>
      <c r="G182" s="13"/>
      <c r="H182" s="13"/>
      <c r="I182" s="13">
        <f t="shared" si="11"/>
        <v>0</v>
      </c>
      <c r="J182" s="13"/>
      <c r="K182" s="13"/>
      <c r="L182" s="13">
        <f t="shared" si="12"/>
        <v>0</v>
      </c>
      <c r="M182" s="13"/>
    </row>
    <row r="183" spans="1:13" ht="47.25" customHeight="1" hidden="1">
      <c r="A183" s="138"/>
      <c r="B183" s="141"/>
      <c r="C183" s="16" t="s">
        <v>39</v>
      </c>
      <c r="D183" s="21" t="s">
        <v>40</v>
      </c>
      <c r="E183" s="13">
        <v>31.1</v>
      </c>
      <c r="F183" s="13"/>
      <c r="G183" s="13"/>
      <c r="H183" s="13"/>
      <c r="I183" s="13">
        <f t="shared" si="11"/>
        <v>0</v>
      </c>
      <c r="J183" s="13"/>
      <c r="K183" s="13"/>
      <c r="L183" s="13">
        <f t="shared" si="12"/>
        <v>-31.1</v>
      </c>
      <c r="M183" s="13">
        <f>H183/E183*100</f>
        <v>0</v>
      </c>
    </row>
    <row r="184" spans="1:13" ht="15.75" customHeight="1" hidden="1">
      <c r="A184" s="138"/>
      <c r="B184" s="141"/>
      <c r="C184" s="18" t="s">
        <v>41</v>
      </c>
      <c r="D184" s="20" t="s">
        <v>42</v>
      </c>
      <c r="E184" s="13"/>
      <c r="F184" s="13"/>
      <c r="G184" s="13"/>
      <c r="H184" s="13"/>
      <c r="I184" s="13">
        <f t="shared" si="11"/>
        <v>0</v>
      </c>
      <c r="J184" s="13"/>
      <c r="K184" s="13"/>
      <c r="L184" s="13">
        <f t="shared" si="12"/>
        <v>0</v>
      </c>
      <c r="M184" s="13"/>
    </row>
    <row r="185" spans="1:13" ht="31.5">
      <c r="A185" s="138"/>
      <c r="B185" s="141"/>
      <c r="C185" s="18" t="s">
        <v>43</v>
      </c>
      <c r="D185" s="20" t="s">
        <v>44</v>
      </c>
      <c r="E185" s="13"/>
      <c r="F185" s="13">
        <v>186.9</v>
      </c>
      <c r="G185" s="13"/>
      <c r="H185" s="13"/>
      <c r="I185" s="13">
        <f t="shared" si="11"/>
        <v>0</v>
      </c>
      <c r="J185" s="13"/>
      <c r="K185" s="13">
        <f>H185/F185*100</f>
        <v>0</v>
      </c>
      <c r="L185" s="13">
        <f t="shared" si="12"/>
        <v>0</v>
      </c>
      <c r="M185" s="13"/>
    </row>
    <row r="186" spans="1:13" ht="15.75" hidden="1">
      <c r="A186" s="138"/>
      <c r="B186" s="141"/>
      <c r="C186" s="18" t="s">
        <v>45</v>
      </c>
      <c r="D186" s="20" t="s">
        <v>46</v>
      </c>
      <c r="G186" s="13"/>
      <c r="H186" s="13"/>
      <c r="I186" s="13">
        <f t="shared" si="11"/>
        <v>0</v>
      </c>
      <c r="J186" s="13"/>
      <c r="K186" s="13"/>
      <c r="L186" s="13">
        <f t="shared" si="12"/>
        <v>0</v>
      </c>
      <c r="M186" s="13">
        <f>H186/E190*100</f>
        <v>0</v>
      </c>
    </row>
    <row r="187" spans="1:13" ht="15.75" customHeight="1" hidden="1">
      <c r="A187" s="138"/>
      <c r="B187" s="141"/>
      <c r="C187" s="18" t="s">
        <v>47</v>
      </c>
      <c r="D187" s="20" t="s">
        <v>48</v>
      </c>
      <c r="E187" s="13"/>
      <c r="F187" s="13"/>
      <c r="G187" s="13"/>
      <c r="H187" s="13"/>
      <c r="I187" s="13">
        <f t="shared" si="11"/>
        <v>0</v>
      </c>
      <c r="J187" s="13"/>
      <c r="K187" s="13"/>
      <c r="L187" s="13">
        <f t="shared" si="12"/>
        <v>0</v>
      </c>
      <c r="M187" s="13"/>
    </row>
    <row r="188" spans="1:13" ht="31.5">
      <c r="A188" s="138"/>
      <c r="B188" s="141"/>
      <c r="C188" s="18" t="s">
        <v>49</v>
      </c>
      <c r="D188" s="20" t="s">
        <v>101</v>
      </c>
      <c r="E188" s="13">
        <v>330.2</v>
      </c>
      <c r="F188" s="13">
        <f>3000+1252+60</f>
        <v>4312</v>
      </c>
      <c r="G188" s="13">
        <f>380.4+313</f>
        <v>693.4</v>
      </c>
      <c r="H188" s="13">
        <f>380.4+313</f>
        <v>693.4</v>
      </c>
      <c r="I188" s="13">
        <f t="shared" si="11"/>
        <v>0</v>
      </c>
      <c r="J188" s="13">
        <f>H188/G188*100</f>
        <v>100</v>
      </c>
      <c r="K188" s="13">
        <f>H188/F188*100</f>
        <v>16.08070500927644</v>
      </c>
      <c r="L188" s="13">
        <f t="shared" si="12"/>
        <v>363.2</v>
      </c>
      <c r="M188" s="13">
        <f>H188/E188*100</f>
        <v>209.99394306480917</v>
      </c>
    </row>
    <row r="189" spans="1:13" ht="15.75" hidden="1">
      <c r="A189" s="138"/>
      <c r="B189" s="141"/>
      <c r="C189" s="18" t="s">
        <v>69</v>
      </c>
      <c r="D189" s="21" t="s">
        <v>70</v>
      </c>
      <c r="E189" s="13"/>
      <c r="F189" s="13"/>
      <c r="G189" s="13"/>
      <c r="H189" s="13"/>
      <c r="I189" s="13">
        <f t="shared" si="11"/>
        <v>0</v>
      </c>
      <c r="J189" s="13"/>
      <c r="K189" s="13"/>
      <c r="L189" s="13">
        <f t="shared" si="12"/>
        <v>0</v>
      </c>
      <c r="M189" s="13"/>
    </row>
    <row r="190" spans="1:13" ht="15.75">
      <c r="A190" s="138"/>
      <c r="B190" s="141"/>
      <c r="C190" s="18" t="s">
        <v>51</v>
      </c>
      <c r="D190" s="20" t="s">
        <v>46</v>
      </c>
      <c r="E190" s="13">
        <v>-454.8</v>
      </c>
      <c r="F190" s="13"/>
      <c r="G190" s="13"/>
      <c r="H190" s="13">
        <v>-283.45</v>
      </c>
      <c r="I190" s="13">
        <f t="shared" si="11"/>
        <v>-283.45</v>
      </c>
      <c r="J190" s="13"/>
      <c r="K190" s="13"/>
      <c r="L190" s="13">
        <f t="shared" si="12"/>
        <v>171.35000000000002</v>
      </c>
      <c r="M190" s="13">
        <f>H190/E190*100</f>
        <v>62.32409850483729</v>
      </c>
    </row>
    <row r="191" spans="1:13" s="28" customFormat="1" ht="31.5" customHeight="1">
      <c r="A191" s="138"/>
      <c r="B191" s="141"/>
      <c r="C191" s="36"/>
      <c r="D191" s="26" t="s">
        <v>56</v>
      </c>
      <c r="E191" s="27">
        <f>E192-E190</f>
        <v>361.3</v>
      </c>
      <c r="F191" s="27">
        <f>F192-F190</f>
        <v>4498.9</v>
      </c>
      <c r="G191" s="27">
        <f>G192-G190</f>
        <v>693.4</v>
      </c>
      <c r="H191" s="27">
        <f>H192-H190</f>
        <v>693.4</v>
      </c>
      <c r="I191" s="13">
        <f t="shared" si="11"/>
        <v>0</v>
      </c>
      <c r="J191" s="13">
        <f>H191/G191*100</f>
        <v>100</v>
      </c>
      <c r="K191" s="27">
        <f>H191/F191*100</f>
        <v>15.412656427126631</v>
      </c>
      <c r="L191" s="13">
        <f t="shared" si="12"/>
        <v>332.09999999999997</v>
      </c>
      <c r="M191" s="13">
        <f>H191/E191*100</f>
        <v>191.91807362302796</v>
      </c>
    </row>
    <row r="192" spans="1:85" s="33" customFormat="1" ht="15.75">
      <c r="A192" s="138"/>
      <c r="B192" s="141"/>
      <c r="C192" s="47"/>
      <c r="D192" s="26" t="s">
        <v>77</v>
      </c>
      <c r="E192" s="40">
        <f>SUM(E179:E181,E184:E190)</f>
        <v>-93.5</v>
      </c>
      <c r="F192" s="40">
        <f>SUM(F179:F181,F184:F190)</f>
        <v>4498.9</v>
      </c>
      <c r="G192" s="40">
        <f>SUM(G179:G181,G184:G190)</f>
        <v>693.4</v>
      </c>
      <c r="H192" s="40">
        <f>SUM(H179:H181,H184:H190)</f>
        <v>409.95</v>
      </c>
      <c r="I192" s="27">
        <f t="shared" si="11"/>
        <v>-283.45</v>
      </c>
      <c r="J192" s="27">
        <f>H192/G192*100</f>
        <v>59.12171906547448</v>
      </c>
      <c r="K192" s="27">
        <f>H192/F192*100</f>
        <v>9.112227433372603</v>
      </c>
      <c r="L192" s="27">
        <f t="shared" si="12"/>
        <v>503.45</v>
      </c>
      <c r="M192" s="27">
        <f>H192/E192*100</f>
        <v>-438.4491978609626</v>
      </c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</row>
    <row r="193" spans="1:13" ht="31.5" customHeight="1">
      <c r="A193" s="137" t="s">
        <v>119</v>
      </c>
      <c r="B193" s="114" t="s">
        <v>120</v>
      </c>
      <c r="C193" s="18" t="s">
        <v>27</v>
      </c>
      <c r="D193" s="22" t="s">
        <v>28</v>
      </c>
      <c r="E193" s="13"/>
      <c r="F193" s="13"/>
      <c r="G193" s="13"/>
      <c r="H193" s="13">
        <v>10.45</v>
      </c>
      <c r="I193" s="13">
        <f t="shared" si="11"/>
        <v>10.45</v>
      </c>
      <c r="J193" s="13"/>
      <c r="K193" s="13"/>
      <c r="L193" s="13">
        <f t="shared" si="12"/>
        <v>10.45</v>
      </c>
      <c r="M193" s="13"/>
    </row>
    <row r="194" spans="1:13" ht="15.75" customHeight="1" hidden="1">
      <c r="A194" s="137"/>
      <c r="B194" s="114"/>
      <c r="C194" s="18" t="s">
        <v>113</v>
      </c>
      <c r="D194" s="20" t="s">
        <v>114</v>
      </c>
      <c r="E194" s="13"/>
      <c r="F194" s="13"/>
      <c r="G194" s="13"/>
      <c r="H194" s="13"/>
      <c r="I194" s="13">
        <f t="shared" si="11"/>
        <v>0</v>
      </c>
      <c r="J194" s="13"/>
      <c r="K194" s="13"/>
      <c r="L194" s="13">
        <f t="shared" si="12"/>
        <v>0</v>
      </c>
      <c r="M194" s="13"/>
    </row>
    <row r="195" spans="1:13" ht="15.75" hidden="1">
      <c r="A195" s="138"/>
      <c r="B195" s="141"/>
      <c r="C195" s="18" t="s">
        <v>35</v>
      </c>
      <c r="D195" s="20" t="s">
        <v>36</v>
      </c>
      <c r="E195" s="13">
        <f>E196</f>
        <v>0</v>
      </c>
      <c r="F195" s="13">
        <f>F196</f>
        <v>0</v>
      </c>
      <c r="G195" s="13">
        <f>G196</f>
        <v>0</v>
      </c>
      <c r="H195" s="13">
        <f>H196</f>
        <v>0</v>
      </c>
      <c r="I195" s="13">
        <f t="shared" si="11"/>
        <v>0</v>
      </c>
      <c r="J195" s="13"/>
      <c r="K195" s="13"/>
      <c r="L195" s="13">
        <f t="shared" si="12"/>
        <v>0</v>
      </c>
      <c r="M195" s="13"/>
    </row>
    <row r="196" spans="1:13" ht="47.25" customHeight="1" hidden="1">
      <c r="A196" s="138"/>
      <c r="B196" s="141"/>
      <c r="C196" s="16" t="s">
        <v>39</v>
      </c>
      <c r="D196" s="21" t="s">
        <v>40</v>
      </c>
      <c r="E196" s="13"/>
      <c r="F196" s="13"/>
      <c r="G196" s="13"/>
      <c r="H196" s="13"/>
      <c r="I196" s="13">
        <f t="shared" si="11"/>
        <v>0</v>
      </c>
      <c r="J196" s="13"/>
      <c r="K196" s="13"/>
      <c r="L196" s="13">
        <f t="shared" si="12"/>
        <v>0</v>
      </c>
      <c r="M196" s="13"/>
    </row>
    <row r="197" spans="1:13" ht="15.75">
      <c r="A197" s="138"/>
      <c r="B197" s="141"/>
      <c r="C197" s="18" t="s">
        <v>41</v>
      </c>
      <c r="D197" s="20" t="s">
        <v>42</v>
      </c>
      <c r="E197" s="13"/>
      <c r="F197" s="13"/>
      <c r="G197" s="13"/>
      <c r="H197" s="13">
        <v>20.53</v>
      </c>
      <c r="I197" s="13">
        <f t="shared" si="11"/>
        <v>20.53</v>
      </c>
      <c r="J197" s="13"/>
      <c r="K197" s="13"/>
      <c r="L197" s="13">
        <f t="shared" si="12"/>
        <v>20.53</v>
      </c>
      <c r="M197" s="13"/>
    </row>
    <row r="198" spans="1:13" ht="31.5">
      <c r="A198" s="138"/>
      <c r="B198" s="141"/>
      <c r="C198" s="18" t="s">
        <v>43</v>
      </c>
      <c r="D198" s="20" t="s">
        <v>44</v>
      </c>
      <c r="E198" s="13"/>
      <c r="F198" s="13">
        <v>1117.1</v>
      </c>
      <c r="G198" s="13"/>
      <c r="H198" s="13"/>
      <c r="I198" s="13">
        <f t="shared" si="11"/>
        <v>0</v>
      </c>
      <c r="J198" s="13"/>
      <c r="K198" s="13">
        <f>H198/F198*100</f>
        <v>0</v>
      </c>
      <c r="L198" s="13">
        <f t="shared" si="12"/>
        <v>0</v>
      </c>
      <c r="M198" s="13"/>
    </row>
    <row r="199" spans="1:13" ht="15.75" customHeight="1" hidden="1">
      <c r="A199" s="138"/>
      <c r="B199" s="141"/>
      <c r="C199" s="18" t="s">
        <v>45</v>
      </c>
      <c r="D199" s="20" t="s">
        <v>46</v>
      </c>
      <c r="F199" s="13"/>
      <c r="G199" s="13"/>
      <c r="H199" s="13"/>
      <c r="I199" s="13">
        <f t="shared" si="11"/>
        <v>0</v>
      </c>
      <c r="J199" s="13"/>
      <c r="K199" s="13"/>
      <c r="L199" s="13">
        <f t="shared" si="12"/>
        <v>0</v>
      </c>
      <c r="M199" s="13"/>
    </row>
    <row r="200" spans="1:13" ht="15.75" customHeight="1" hidden="1">
      <c r="A200" s="138"/>
      <c r="B200" s="141"/>
      <c r="C200" s="18" t="s">
        <v>47</v>
      </c>
      <c r="D200" s="20" t="s">
        <v>48</v>
      </c>
      <c r="E200" s="13"/>
      <c r="F200" s="13"/>
      <c r="G200" s="13"/>
      <c r="H200" s="13"/>
      <c r="I200" s="13">
        <f t="shared" si="11"/>
        <v>0</v>
      </c>
      <c r="J200" s="13"/>
      <c r="K200" s="13"/>
      <c r="L200" s="13">
        <f t="shared" si="12"/>
        <v>0</v>
      </c>
      <c r="M200" s="13"/>
    </row>
    <row r="201" spans="1:13" ht="31.5">
      <c r="A201" s="138"/>
      <c r="B201" s="141"/>
      <c r="C201" s="18" t="s">
        <v>49</v>
      </c>
      <c r="D201" s="20" t="s">
        <v>101</v>
      </c>
      <c r="E201" s="13">
        <v>295.5</v>
      </c>
      <c r="F201" s="13">
        <f>3000+1100+30</f>
        <v>4130</v>
      </c>
      <c r="G201" s="13">
        <v>388.4</v>
      </c>
      <c r="H201" s="13">
        <f>388.4+275</f>
        <v>663.4</v>
      </c>
      <c r="I201" s="13">
        <f t="shared" si="11"/>
        <v>275</v>
      </c>
      <c r="J201" s="13">
        <f>H201/G201*100</f>
        <v>170.8032955715757</v>
      </c>
      <c r="K201" s="13">
        <f>H201/F201*100</f>
        <v>16.062953995157383</v>
      </c>
      <c r="L201" s="13">
        <f t="shared" si="12"/>
        <v>367.9</v>
      </c>
      <c r="M201" s="13">
        <f>H201/E201*100</f>
        <v>224.50084602368867</v>
      </c>
    </row>
    <row r="202" spans="1:13" ht="15.75" customHeight="1" hidden="1">
      <c r="A202" s="138"/>
      <c r="B202" s="141"/>
      <c r="C202" s="18" t="s">
        <v>69</v>
      </c>
      <c r="D202" s="21" t="s">
        <v>70</v>
      </c>
      <c r="E202" s="13"/>
      <c r="F202" s="13"/>
      <c r="G202" s="13"/>
      <c r="H202" s="13"/>
      <c r="I202" s="13">
        <f aca="true" t="shared" si="13" ref="I202:I265">H202-G202</f>
        <v>0</v>
      </c>
      <c r="J202" s="13"/>
      <c r="K202" s="13"/>
      <c r="L202" s="13">
        <f>H202-E202</f>
        <v>0</v>
      </c>
      <c r="M202" s="13"/>
    </row>
    <row r="203" spans="1:13" ht="15.75" customHeight="1">
      <c r="A203" s="138"/>
      <c r="B203" s="141"/>
      <c r="C203" s="18" t="s">
        <v>51</v>
      </c>
      <c r="D203" s="20" t="s">
        <v>46</v>
      </c>
      <c r="E203" s="13">
        <v>-731.7</v>
      </c>
      <c r="F203" s="13"/>
      <c r="G203" s="13"/>
      <c r="H203" s="13">
        <v>-456.92</v>
      </c>
      <c r="I203" s="13">
        <f t="shared" si="13"/>
        <v>-456.92</v>
      </c>
      <c r="J203" s="13"/>
      <c r="K203" s="13"/>
      <c r="L203" s="13">
        <f>H203-E203</f>
        <v>274.78000000000003</v>
      </c>
      <c r="M203" s="13">
        <f>H203/E203*100</f>
        <v>62.4463577969113</v>
      </c>
    </row>
    <row r="204" spans="1:13" s="28" customFormat="1" ht="47.25">
      <c r="A204" s="138"/>
      <c r="B204" s="141"/>
      <c r="C204" s="36"/>
      <c r="D204" s="26" t="s">
        <v>56</v>
      </c>
      <c r="E204" s="27">
        <f>E205-E203</f>
        <v>295.5</v>
      </c>
      <c r="F204" s="27">
        <f>F205-F203</f>
        <v>5247.1</v>
      </c>
      <c r="G204" s="27">
        <f>G205-G203</f>
        <v>388.4</v>
      </c>
      <c r="H204" s="27">
        <f>H205-H203</f>
        <v>694.38</v>
      </c>
      <c r="I204" s="13">
        <f t="shared" si="13"/>
        <v>305.98</v>
      </c>
      <c r="J204" s="13">
        <f>H204/G204*100</f>
        <v>178.7796086508754</v>
      </c>
      <c r="K204" s="27">
        <f>H204/F204*100</f>
        <v>13.23359570048217</v>
      </c>
      <c r="L204" s="13">
        <f aca="true" t="shared" si="14" ref="L204:L266">H204-E204</f>
        <v>398.88</v>
      </c>
      <c r="M204" s="13">
        <f>H204/E204*100</f>
        <v>234.98477157360406</v>
      </c>
    </row>
    <row r="205" spans="1:85" s="33" customFormat="1" ht="15.75">
      <c r="A205" s="138"/>
      <c r="B205" s="141"/>
      <c r="C205" s="47"/>
      <c r="D205" s="26" t="s">
        <v>77</v>
      </c>
      <c r="E205" s="40">
        <f>SUM(E193:E195,E197:E203)</f>
        <v>-436.20000000000005</v>
      </c>
      <c r="F205" s="40">
        <f>SUM(F193:F195,F197:F203)</f>
        <v>5247.1</v>
      </c>
      <c r="G205" s="40">
        <f>SUM(G193:G195,G197:G203)</f>
        <v>388.4</v>
      </c>
      <c r="H205" s="40">
        <f>SUM(H193:H195,H197:H203)</f>
        <v>237.45999999999998</v>
      </c>
      <c r="I205" s="27">
        <f t="shared" si="13"/>
        <v>-150.94</v>
      </c>
      <c r="J205" s="27">
        <f>H205/G205*100</f>
        <v>61.13800205973223</v>
      </c>
      <c r="K205" s="27">
        <f>H205/F205*100</f>
        <v>4.525547445255474</v>
      </c>
      <c r="L205" s="27">
        <f t="shared" si="14"/>
        <v>673.6600000000001</v>
      </c>
      <c r="M205" s="27">
        <f>H205/E205*100</f>
        <v>-54.438331040806965</v>
      </c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</row>
    <row r="206" spans="1:13" s="28" customFormat="1" ht="15.75" customHeight="1" hidden="1">
      <c r="A206" s="130">
        <v>936</v>
      </c>
      <c r="B206" s="130" t="s">
        <v>121</v>
      </c>
      <c r="C206" s="18" t="s">
        <v>35</v>
      </c>
      <c r="D206" s="20" t="s">
        <v>36</v>
      </c>
      <c r="E206" s="13">
        <f>E207</f>
        <v>0</v>
      </c>
      <c r="F206" s="13">
        <f>F207</f>
        <v>0</v>
      </c>
      <c r="G206" s="13">
        <f>G207</f>
        <v>0</v>
      </c>
      <c r="H206" s="13">
        <f>H207</f>
        <v>0</v>
      </c>
      <c r="I206" s="13">
        <f t="shared" si="13"/>
        <v>0</v>
      </c>
      <c r="J206" s="13"/>
      <c r="K206" s="13"/>
      <c r="L206" s="13">
        <f t="shared" si="14"/>
        <v>0</v>
      </c>
      <c r="M206" s="13"/>
    </row>
    <row r="207" spans="1:13" s="28" customFormat="1" ht="47.25" customHeight="1" hidden="1">
      <c r="A207" s="133"/>
      <c r="B207" s="139"/>
      <c r="C207" s="16" t="s">
        <v>39</v>
      </c>
      <c r="D207" s="21" t="s">
        <v>40</v>
      </c>
      <c r="E207" s="13"/>
      <c r="F207" s="13"/>
      <c r="G207" s="13"/>
      <c r="H207" s="13"/>
      <c r="I207" s="13">
        <f t="shared" si="13"/>
        <v>0</v>
      </c>
      <c r="J207" s="13"/>
      <c r="K207" s="13"/>
      <c r="L207" s="13">
        <f t="shared" si="14"/>
        <v>0</v>
      </c>
      <c r="M207" s="13"/>
    </row>
    <row r="208" spans="1:13" ht="15.75" customHeight="1" hidden="1">
      <c r="A208" s="133"/>
      <c r="B208" s="139"/>
      <c r="C208" s="18" t="s">
        <v>41</v>
      </c>
      <c r="D208" s="20" t="s">
        <v>42</v>
      </c>
      <c r="E208" s="13"/>
      <c r="F208" s="13"/>
      <c r="G208" s="13"/>
      <c r="H208" s="13"/>
      <c r="I208" s="13">
        <f t="shared" si="13"/>
        <v>0</v>
      </c>
      <c r="J208" s="13"/>
      <c r="K208" s="13"/>
      <c r="L208" s="13">
        <f t="shared" si="14"/>
        <v>0</v>
      </c>
      <c r="M208" s="13"/>
    </row>
    <row r="209" spans="1:13" ht="15.75" customHeight="1">
      <c r="A209" s="133"/>
      <c r="B209" s="139"/>
      <c r="C209" s="18" t="s">
        <v>43</v>
      </c>
      <c r="D209" s="20" t="s">
        <v>44</v>
      </c>
      <c r="E209" s="13"/>
      <c r="F209" s="13">
        <v>50</v>
      </c>
      <c r="G209" s="13"/>
      <c r="H209" s="13"/>
      <c r="I209" s="13">
        <f t="shared" si="13"/>
        <v>0</v>
      </c>
      <c r="J209" s="13"/>
      <c r="K209" s="13">
        <f>H209/F209*100</f>
        <v>0</v>
      </c>
      <c r="L209" s="13">
        <f t="shared" si="14"/>
        <v>0</v>
      </c>
      <c r="M209" s="13"/>
    </row>
    <row r="210" spans="1:13" ht="15.75" hidden="1">
      <c r="A210" s="133"/>
      <c r="B210" s="139"/>
      <c r="C210" s="18" t="s">
        <v>45</v>
      </c>
      <c r="D210" s="20" t="s">
        <v>46</v>
      </c>
      <c r="F210" s="13"/>
      <c r="G210" s="13"/>
      <c r="H210" s="13"/>
      <c r="I210" s="13">
        <f t="shared" si="13"/>
        <v>0</v>
      </c>
      <c r="J210" s="13"/>
      <c r="K210" s="13"/>
      <c r="L210" s="13">
        <f t="shared" si="14"/>
        <v>0</v>
      </c>
      <c r="M210" s="13">
        <f>H210/E214*100</f>
        <v>0</v>
      </c>
    </row>
    <row r="211" spans="1:13" ht="15.75" hidden="1">
      <c r="A211" s="133"/>
      <c r="B211" s="139"/>
      <c r="C211" s="18" t="s">
        <v>47</v>
      </c>
      <c r="D211" s="20" t="s">
        <v>48</v>
      </c>
      <c r="E211" s="13"/>
      <c r="F211" s="13"/>
      <c r="G211" s="13"/>
      <c r="H211" s="13"/>
      <c r="I211" s="13">
        <f t="shared" si="13"/>
        <v>0</v>
      </c>
      <c r="J211" s="13"/>
      <c r="K211" s="13"/>
      <c r="L211" s="13">
        <f t="shared" si="14"/>
        <v>0</v>
      </c>
      <c r="M211" s="13"/>
    </row>
    <row r="212" spans="1:13" ht="15.75" customHeight="1">
      <c r="A212" s="133"/>
      <c r="B212" s="139"/>
      <c r="C212" s="18" t="s">
        <v>49</v>
      </c>
      <c r="D212" s="20" t="s">
        <v>101</v>
      </c>
      <c r="E212" s="13">
        <v>295.5</v>
      </c>
      <c r="F212" s="13">
        <f>2700+1100+95</f>
        <v>3895</v>
      </c>
      <c r="G212" s="13">
        <f>473.2+275</f>
        <v>748.2</v>
      </c>
      <c r="H212" s="13">
        <f>473.2+275</f>
        <v>748.2</v>
      </c>
      <c r="I212" s="13">
        <f t="shared" si="13"/>
        <v>0</v>
      </c>
      <c r="J212" s="13">
        <f>H212/G212*100</f>
        <v>100</v>
      </c>
      <c r="K212" s="13">
        <f>H212/F212*100</f>
        <v>19.20924261874198</v>
      </c>
      <c r="L212" s="13">
        <f t="shared" si="14"/>
        <v>452.70000000000005</v>
      </c>
      <c r="M212" s="13">
        <f>H212/E212*100</f>
        <v>253.19796954314722</v>
      </c>
    </row>
    <row r="213" spans="1:13" ht="15.75" hidden="1">
      <c r="A213" s="133"/>
      <c r="B213" s="139"/>
      <c r="C213" s="18" t="s">
        <v>69</v>
      </c>
      <c r="D213" s="21" t="s">
        <v>70</v>
      </c>
      <c r="E213" s="13"/>
      <c r="F213" s="13"/>
      <c r="G213" s="13"/>
      <c r="H213" s="13"/>
      <c r="I213" s="13">
        <f t="shared" si="13"/>
        <v>0</v>
      </c>
      <c r="J213" s="13"/>
      <c r="K213" s="13"/>
      <c r="L213" s="13">
        <f t="shared" si="14"/>
        <v>0</v>
      </c>
      <c r="M213" s="13"/>
    </row>
    <row r="214" spans="1:13" ht="15.75">
      <c r="A214" s="133"/>
      <c r="B214" s="139"/>
      <c r="C214" s="18" t="s">
        <v>51</v>
      </c>
      <c r="D214" s="20" t="s">
        <v>46</v>
      </c>
      <c r="E214" s="13">
        <v>-658.3</v>
      </c>
      <c r="F214" s="13"/>
      <c r="G214" s="13"/>
      <c r="H214" s="13">
        <v>-288.81</v>
      </c>
      <c r="I214" s="13">
        <f t="shared" si="13"/>
        <v>-288.81</v>
      </c>
      <c r="J214" s="13"/>
      <c r="K214" s="13"/>
      <c r="L214" s="13">
        <f t="shared" si="14"/>
        <v>369.48999999999995</v>
      </c>
      <c r="M214" s="13">
        <f>H214/E214*100</f>
        <v>43.872094789609605</v>
      </c>
    </row>
    <row r="215" spans="1:13" s="28" customFormat="1" ht="47.25">
      <c r="A215" s="133"/>
      <c r="B215" s="139"/>
      <c r="C215" s="36"/>
      <c r="D215" s="26" t="s">
        <v>56</v>
      </c>
      <c r="E215" s="27">
        <f>E216-E214</f>
        <v>295.5</v>
      </c>
      <c r="F215" s="27">
        <f>F216-F214</f>
        <v>3945</v>
      </c>
      <c r="G215" s="27">
        <f>G216-G214</f>
        <v>748.2</v>
      </c>
      <c r="H215" s="27">
        <f>H216-H214</f>
        <v>748.2</v>
      </c>
      <c r="I215" s="13">
        <f t="shared" si="13"/>
        <v>0</v>
      </c>
      <c r="J215" s="13">
        <f>H215/G215*100</f>
        <v>100</v>
      </c>
      <c r="K215" s="27">
        <f>H215/F215*100</f>
        <v>18.965779467680612</v>
      </c>
      <c r="L215" s="13">
        <f t="shared" si="14"/>
        <v>452.70000000000005</v>
      </c>
      <c r="M215" s="13">
        <f>H215/E215*100</f>
        <v>253.19796954314722</v>
      </c>
    </row>
    <row r="216" spans="1:85" s="33" customFormat="1" ht="15.75">
      <c r="A216" s="129"/>
      <c r="B216" s="140"/>
      <c r="C216" s="47"/>
      <c r="D216" s="26" t="s">
        <v>77</v>
      </c>
      <c r="E216" s="40">
        <f>SUM(E206,E208:E214)</f>
        <v>-362.79999999999995</v>
      </c>
      <c r="F216" s="40">
        <f>SUM(F206,F208:F214)</f>
        <v>3945</v>
      </c>
      <c r="G216" s="40">
        <f>SUM(G206,G208:G214)</f>
        <v>748.2</v>
      </c>
      <c r="H216" s="40">
        <f>SUM(H206,H208:H214)</f>
        <v>459.39000000000004</v>
      </c>
      <c r="I216" s="27">
        <f t="shared" si="13"/>
        <v>-288.81</v>
      </c>
      <c r="J216" s="27">
        <f>H216/G216*100</f>
        <v>61.39935846030473</v>
      </c>
      <c r="K216" s="27">
        <f>H216/F216*100</f>
        <v>11.644866920152094</v>
      </c>
      <c r="L216" s="27">
        <f t="shared" si="14"/>
        <v>822.19</v>
      </c>
      <c r="M216" s="27">
        <f>H216/E216*100</f>
        <v>-126.62348401323045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</row>
    <row r="217" spans="1:13" ht="31.5" customHeight="1" hidden="1">
      <c r="A217" s="137" t="s">
        <v>122</v>
      </c>
      <c r="B217" s="114" t="s">
        <v>123</v>
      </c>
      <c r="C217" s="18" t="s">
        <v>27</v>
      </c>
      <c r="D217" s="22" t="s">
        <v>28</v>
      </c>
      <c r="E217" s="13"/>
      <c r="F217" s="13"/>
      <c r="G217" s="13"/>
      <c r="H217" s="13"/>
      <c r="I217" s="13">
        <f t="shared" si="13"/>
        <v>0</v>
      </c>
      <c r="J217" s="13"/>
      <c r="K217" s="13"/>
      <c r="L217" s="13">
        <f t="shared" si="14"/>
        <v>0</v>
      </c>
      <c r="M217" s="13"/>
    </row>
    <row r="218" spans="1:13" ht="15.75" customHeight="1" hidden="1">
      <c r="A218" s="137"/>
      <c r="B218" s="114"/>
      <c r="C218" s="18" t="s">
        <v>113</v>
      </c>
      <c r="D218" s="20" t="s">
        <v>114</v>
      </c>
      <c r="E218" s="13"/>
      <c r="F218" s="13"/>
      <c r="G218" s="13"/>
      <c r="H218" s="13"/>
      <c r="I218" s="13">
        <f t="shared" si="13"/>
        <v>0</v>
      </c>
      <c r="J218" s="13"/>
      <c r="K218" s="13"/>
      <c r="L218" s="13">
        <f t="shared" si="14"/>
        <v>0</v>
      </c>
      <c r="M218" s="13"/>
    </row>
    <row r="219" spans="1:13" ht="15.75" hidden="1">
      <c r="A219" s="138"/>
      <c r="B219" s="141"/>
      <c r="C219" s="18" t="s">
        <v>35</v>
      </c>
      <c r="D219" s="20" t="s">
        <v>36</v>
      </c>
      <c r="E219" s="13">
        <f>E220</f>
        <v>0</v>
      </c>
      <c r="F219" s="13">
        <f>F220</f>
        <v>0</v>
      </c>
      <c r="G219" s="13">
        <f>G220</f>
        <v>0</v>
      </c>
      <c r="H219" s="13"/>
      <c r="I219" s="13">
        <f t="shared" si="13"/>
        <v>0</v>
      </c>
      <c r="J219" s="13"/>
      <c r="K219" s="13"/>
      <c r="L219" s="13">
        <f t="shared" si="14"/>
        <v>0</v>
      </c>
      <c r="M219" s="13"/>
    </row>
    <row r="220" spans="1:13" ht="47.25" customHeight="1" hidden="1">
      <c r="A220" s="138"/>
      <c r="B220" s="141"/>
      <c r="C220" s="16" t="s">
        <v>39</v>
      </c>
      <c r="D220" s="21" t="s">
        <v>40</v>
      </c>
      <c r="E220" s="13"/>
      <c r="F220" s="13"/>
      <c r="G220" s="13"/>
      <c r="H220" s="13"/>
      <c r="I220" s="13">
        <f t="shared" si="13"/>
        <v>0</v>
      </c>
      <c r="J220" s="13"/>
      <c r="K220" s="13"/>
      <c r="L220" s="13">
        <f t="shared" si="14"/>
        <v>0</v>
      </c>
      <c r="M220" s="13"/>
    </row>
    <row r="221" spans="1:13" ht="15.75" customHeight="1">
      <c r="A221" s="138"/>
      <c r="B221" s="141"/>
      <c r="C221" s="18" t="s">
        <v>41</v>
      </c>
      <c r="D221" s="20" t="s">
        <v>42</v>
      </c>
      <c r="E221" s="13"/>
      <c r="F221" s="13"/>
      <c r="G221" s="13"/>
      <c r="H221" s="13">
        <v>21.02</v>
      </c>
      <c r="I221" s="13">
        <f t="shared" si="13"/>
        <v>21.02</v>
      </c>
      <c r="J221" s="13"/>
      <c r="K221" s="13"/>
      <c r="L221" s="13">
        <f t="shared" si="14"/>
        <v>21.02</v>
      </c>
      <c r="M221" s="13"/>
    </row>
    <row r="222" spans="1:13" ht="31.5">
      <c r="A222" s="138"/>
      <c r="B222" s="141"/>
      <c r="C222" s="18" t="s">
        <v>43</v>
      </c>
      <c r="D222" s="20" t="s">
        <v>44</v>
      </c>
      <c r="E222" s="13"/>
      <c r="F222" s="13">
        <v>230</v>
      </c>
      <c r="G222" s="13"/>
      <c r="H222" s="13"/>
      <c r="I222" s="13">
        <f t="shared" si="13"/>
        <v>0</v>
      </c>
      <c r="J222" s="13"/>
      <c r="K222" s="13">
        <f>H222/F222*100</f>
        <v>0</v>
      </c>
      <c r="L222" s="13">
        <f t="shared" si="14"/>
        <v>0</v>
      </c>
      <c r="M222" s="13"/>
    </row>
    <row r="223" spans="1:13" ht="15.75" hidden="1">
      <c r="A223" s="138"/>
      <c r="B223" s="141"/>
      <c r="C223" s="18" t="s">
        <v>45</v>
      </c>
      <c r="D223" s="20" t="s">
        <v>46</v>
      </c>
      <c r="F223" s="13"/>
      <c r="G223" s="13"/>
      <c r="H223" s="13"/>
      <c r="I223" s="13">
        <f t="shared" si="13"/>
        <v>0</v>
      </c>
      <c r="J223" s="13"/>
      <c r="K223" s="13"/>
      <c r="L223" s="13">
        <f t="shared" si="14"/>
        <v>0</v>
      </c>
      <c r="M223" s="13"/>
    </row>
    <row r="224" spans="1:13" ht="15.75" customHeight="1" hidden="1">
      <c r="A224" s="138"/>
      <c r="B224" s="141"/>
      <c r="C224" s="18" t="s">
        <v>47</v>
      </c>
      <c r="D224" s="20" t="s">
        <v>48</v>
      </c>
      <c r="E224" s="13"/>
      <c r="F224" s="13"/>
      <c r="G224" s="13"/>
      <c r="H224" s="13"/>
      <c r="I224" s="13">
        <f t="shared" si="13"/>
        <v>0</v>
      </c>
      <c r="J224" s="13"/>
      <c r="K224" s="13"/>
      <c r="L224" s="13">
        <f t="shared" si="14"/>
        <v>0</v>
      </c>
      <c r="M224" s="13"/>
    </row>
    <row r="225" spans="1:13" ht="31.5">
      <c r="A225" s="138"/>
      <c r="B225" s="141"/>
      <c r="C225" s="18" t="s">
        <v>49</v>
      </c>
      <c r="D225" s="20" t="s">
        <v>101</v>
      </c>
      <c r="E225" s="13">
        <v>260.9</v>
      </c>
      <c r="F225" s="13">
        <f>3000+950+50</f>
        <v>4000</v>
      </c>
      <c r="G225" s="13">
        <v>631</v>
      </c>
      <c r="H225" s="13">
        <f>631+237.5</f>
        <v>868.5</v>
      </c>
      <c r="I225" s="13">
        <f t="shared" si="13"/>
        <v>237.5</v>
      </c>
      <c r="J225" s="13">
        <f>H225/G225*100</f>
        <v>137.63866877971475</v>
      </c>
      <c r="K225" s="13">
        <f>H225/F225*100</f>
        <v>21.712500000000002</v>
      </c>
      <c r="L225" s="13">
        <f t="shared" si="14"/>
        <v>607.6</v>
      </c>
      <c r="M225" s="13">
        <f>H225/E225*100</f>
        <v>332.8861632809506</v>
      </c>
    </row>
    <row r="226" spans="1:13" ht="15.75" hidden="1">
      <c r="A226" s="138"/>
      <c r="B226" s="141"/>
      <c r="C226" s="18" t="s">
        <v>69</v>
      </c>
      <c r="D226" s="21" t="s">
        <v>70</v>
      </c>
      <c r="E226" s="13"/>
      <c r="F226" s="13"/>
      <c r="G226" s="13"/>
      <c r="H226" s="13"/>
      <c r="I226" s="13">
        <f t="shared" si="13"/>
        <v>0</v>
      </c>
      <c r="J226" s="13"/>
      <c r="K226" s="13"/>
      <c r="L226" s="13">
        <f t="shared" si="14"/>
        <v>0</v>
      </c>
      <c r="M226" s="13"/>
    </row>
    <row r="227" spans="1:13" ht="15.75">
      <c r="A227" s="138"/>
      <c r="B227" s="141"/>
      <c r="C227" s="18" t="s">
        <v>51</v>
      </c>
      <c r="D227" s="20" t="s">
        <v>46</v>
      </c>
      <c r="E227" s="13">
        <v>-331</v>
      </c>
      <c r="F227" s="13"/>
      <c r="G227" s="13"/>
      <c r="H227" s="13">
        <v>-277.21</v>
      </c>
      <c r="I227" s="13">
        <f t="shared" si="13"/>
        <v>-277.21</v>
      </c>
      <c r="J227" s="13"/>
      <c r="K227" s="13"/>
      <c r="L227" s="13">
        <f t="shared" si="14"/>
        <v>53.79000000000002</v>
      </c>
      <c r="M227" s="13">
        <f>H227/E227*100</f>
        <v>83.74924471299093</v>
      </c>
    </row>
    <row r="228" spans="1:13" s="28" customFormat="1" ht="31.5" customHeight="1">
      <c r="A228" s="138"/>
      <c r="B228" s="141"/>
      <c r="C228" s="36"/>
      <c r="D228" s="26" t="s">
        <v>56</v>
      </c>
      <c r="E228" s="27">
        <f>E229-E227</f>
        <v>260.9</v>
      </c>
      <c r="F228" s="27">
        <f>F229-F227</f>
        <v>4230</v>
      </c>
      <c r="G228" s="27">
        <f>G229-G227</f>
        <v>631</v>
      </c>
      <c r="H228" s="27">
        <f>H229-H227</f>
        <v>889.52</v>
      </c>
      <c r="I228" s="13">
        <f t="shared" si="13"/>
        <v>258.52</v>
      </c>
      <c r="J228" s="13">
        <f>H228/G228*100</f>
        <v>140.96988906497623</v>
      </c>
      <c r="K228" s="27">
        <f>H228/F228*100</f>
        <v>21.02884160756501</v>
      </c>
      <c r="L228" s="13">
        <f t="shared" si="14"/>
        <v>628.62</v>
      </c>
      <c r="M228" s="13">
        <f>H228/E228*100</f>
        <v>340.94288999616714</v>
      </c>
    </row>
    <row r="229" spans="1:85" s="33" customFormat="1" ht="15.75">
      <c r="A229" s="138"/>
      <c r="B229" s="141"/>
      <c r="C229" s="47"/>
      <c r="D229" s="26" t="s">
        <v>77</v>
      </c>
      <c r="E229" s="40">
        <f>SUM(E217:E219,E221:E227)</f>
        <v>-70.10000000000002</v>
      </c>
      <c r="F229" s="40">
        <f>SUM(F217:F219,F221:F227)</f>
        <v>4230</v>
      </c>
      <c r="G229" s="40">
        <f>SUM(G217:G219,G221:G227)</f>
        <v>631</v>
      </c>
      <c r="H229" s="40">
        <f>SUM(H217:H219,H221:H227)</f>
        <v>612.31</v>
      </c>
      <c r="I229" s="27">
        <f t="shared" si="13"/>
        <v>-18.690000000000055</v>
      </c>
      <c r="J229" s="27">
        <f>H229/G229*100</f>
        <v>97.03803486529317</v>
      </c>
      <c r="K229" s="27">
        <f>H229/F229*100</f>
        <v>14.475413711583924</v>
      </c>
      <c r="L229" s="27">
        <f t="shared" si="14"/>
        <v>682.41</v>
      </c>
      <c r="M229" s="27">
        <f>H229/E229*100</f>
        <v>-873.4807417974318</v>
      </c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</row>
    <row r="230" spans="1:13" ht="31.5" customHeight="1" hidden="1">
      <c r="A230" s="137" t="s">
        <v>124</v>
      </c>
      <c r="B230" s="130" t="s">
        <v>125</v>
      </c>
      <c r="C230" s="18" t="s">
        <v>27</v>
      </c>
      <c r="D230" s="22" t="s">
        <v>28</v>
      </c>
      <c r="E230" s="13"/>
      <c r="F230" s="13"/>
      <c r="G230" s="13"/>
      <c r="H230" s="13"/>
      <c r="I230" s="13">
        <f t="shared" si="13"/>
        <v>0</v>
      </c>
      <c r="J230" s="13"/>
      <c r="K230" s="13"/>
      <c r="L230" s="13">
        <f t="shared" si="14"/>
        <v>0</v>
      </c>
      <c r="M230" s="13"/>
    </row>
    <row r="231" spans="1:13" ht="15.75" customHeight="1" hidden="1">
      <c r="A231" s="137"/>
      <c r="B231" s="139"/>
      <c r="C231" s="18" t="s">
        <v>113</v>
      </c>
      <c r="D231" s="20" t="s">
        <v>114</v>
      </c>
      <c r="E231" s="13"/>
      <c r="F231" s="13"/>
      <c r="G231" s="13"/>
      <c r="H231" s="13"/>
      <c r="I231" s="13">
        <f t="shared" si="13"/>
        <v>0</v>
      </c>
      <c r="J231" s="13"/>
      <c r="K231" s="13"/>
      <c r="L231" s="13">
        <f t="shared" si="14"/>
        <v>0</v>
      </c>
      <c r="M231" s="13"/>
    </row>
    <row r="232" spans="1:13" ht="15.75" customHeight="1" hidden="1">
      <c r="A232" s="138"/>
      <c r="B232" s="139"/>
      <c r="C232" s="18" t="s">
        <v>35</v>
      </c>
      <c r="D232" s="20" t="s">
        <v>36</v>
      </c>
      <c r="E232" s="13">
        <f>E233</f>
        <v>0</v>
      </c>
      <c r="F232" s="13">
        <f>F233</f>
        <v>0</v>
      </c>
      <c r="G232" s="13">
        <f>G233</f>
        <v>0</v>
      </c>
      <c r="H232" s="13">
        <f>H233</f>
        <v>0</v>
      </c>
      <c r="I232" s="13">
        <f t="shared" si="13"/>
        <v>0</v>
      </c>
      <c r="J232" s="13"/>
      <c r="K232" s="13"/>
      <c r="L232" s="13">
        <f t="shared" si="14"/>
        <v>0</v>
      </c>
      <c r="M232" s="13"/>
    </row>
    <row r="233" spans="1:13" ht="47.25" customHeight="1" hidden="1">
      <c r="A233" s="138"/>
      <c r="B233" s="139"/>
      <c r="C233" s="16" t="s">
        <v>39</v>
      </c>
      <c r="D233" s="21" t="s">
        <v>40</v>
      </c>
      <c r="E233" s="13"/>
      <c r="F233" s="13"/>
      <c r="G233" s="13"/>
      <c r="H233" s="13"/>
      <c r="I233" s="13">
        <f t="shared" si="13"/>
        <v>0</v>
      </c>
      <c r="J233" s="13"/>
      <c r="K233" s="13"/>
      <c r="L233" s="13">
        <f t="shared" si="14"/>
        <v>0</v>
      </c>
      <c r="M233" s="13"/>
    </row>
    <row r="234" spans="1:13" ht="15.75">
      <c r="A234" s="138"/>
      <c r="B234" s="139"/>
      <c r="C234" s="18" t="s">
        <v>41</v>
      </c>
      <c r="D234" s="20" t="s">
        <v>42</v>
      </c>
      <c r="E234" s="7">
        <v>-2.5</v>
      </c>
      <c r="F234" s="13"/>
      <c r="G234" s="13"/>
      <c r="H234" s="13"/>
      <c r="I234" s="13">
        <f t="shared" si="13"/>
        <v>0</v>
      </c>
      <c r="J234" s="13"/>
      <c r="K234" s="13"/>
      <c r="L234" s="13">
        <f t="shared" si="14"/>
        <v>2.5</v>
      </c>
      <c r="M234" s="13">
        <f>H234/E234*100</f>
        <v>0</v>
      </c>
    </row>
    <row r="235" spans="1:13" ht="31.5">
      <c r="A235" s="138"/>
      <c r="B235" s="139"/>
      <c r="C235" s="18" t="s">
        <v>43</v>
      </c>
      <c r="D235" s="20" t="s">
        <v>44</v>
      </c>
      <c r="E235" s="13"/>
      <c r="F235" s="13">
        <v>44</v>
      </c>
      <c r="G235" s="13"/>
      <c r="H235" s="13"/>
      <c r="I235" s="13">
        <f t="shared" si="13"/>
        <v>0</v>
      </c>
      <c r="J235" s="13"/>
      <c r="K235" s="13"/>
      <c r="L235" s="13">
        <f t="shared" si="14"/>
        <v>0</v>
      </c>
      <c r="M235" s="13"/>
    </row>
    <row r="236" spans="1:13" ht="15.75" customHeight="1" hidden="1">
      <c r="A236" s="138"/>
      <c r="B236" s="139"/>
      <c r="C236" s="18" t="s">
        <v>45</v>
      </c>
      <c r="D236" s="20" t="s">
        <v>46</v>
      </c>
      <c r="F236" s="13"/>
      <c r="G236" s="13"/>
      <c r="H236" s="13"/>
      <c r="I236" s="13">
        <f t="shared" si="13"/>
        <v>0</v>
      </c>
      <c r="J236" s="13"/>
      <c r="K236" s="13"/>
      <c r="L236" s="13">
        <f t="shared" si="14"/>
        <v>0</v>
      </c>
      <c r="M236" s="13">
        <f>H236/E239*100</f>
        <v>0</v>
      </c>
    </row>
    <row r="237" spans="1:13" ht="15.75" customHeight="1" hidden="1">
      <c r="A237" s="138"/>
      <c r="B237" s="139"/>
      <c r="C237" s="18" t="s">
        <v>47</v>
      </c>
      <c r="D237" s="20" t="s">
        <v>48</v>
      </c>
      <c r="E237" s="13"/>
      <c r="F237" s="13"/>
      <c r="G237" s="13"/>
      <c r="H237" s="13"/>
      <c r="I237" s="13">
        <f t="shared" si="13"/>
        <v>0</v>
      </c>
      <c r="J237" s="13"/>
      <c r="K237" s="13"/>
      <c r="L237" s="13">
        <f t="shared" si="14"/>
        <v>0</v>
      </c>
      <c r="M237" s="13"/>
    </row>
    <row r="238" spans="1:13" ht="31.5">
      <c r="A238" s="138"/>
      <c r="B238" s="139"/>
      <c r="C238" s="18" t="s">
        <v>49</v>
      </c>
      <c r="D238" s="20" t="s">
        <v>101</v>
      </c>
      <c r="E238" s="13">
        <v>49.3</v>
      </c>
      <c r="F238" s="13">
        <f>850+50</f>
        <v>900</v>
      </c>
      <c r="G238" s="13">
        <v>89</v>
      </c>
      <c r="H238" s="13">
        <v>89</v>
      </c>
      <c r="I238" s="13">
        <f t="shared" si="13"/>
        <v>0</v>
      </c>
      <c r="J238" s="13">
        <f>H238/G238*100</f>
        <v>100</v>
      </c>
      <c r="K238" s="13">
        <f>H238/F238*100</f>
        <v>9.88888888888889</v>
      </c>
      <c r="L238" s="13">
        <f t="shared" si="14"/>
        <v>39.7</v>
      </c>
      <c r="M238" s="13">
        <f>H238/E238*100</f>
        <v>180.52738336713995</v>
      </c>
    </row>
    <row r="239" spans="1:13" ht="15.75" customHeight="1">
      <c r="A239" s="138"/>
      <c r="B239" s="139"/>
      <c r="C239" s="18" t="s">
        <v>51</v>
      </c>
      <c r="D239" s="21" t="s">
        <v>70</v>
      </c>
      <c r="E239" s="13">
        <v>-1</v>
      </c>
      <c r="F239" s="13"/>
      <c r="G239" s="13"/>
      <c r="H239" s="13"/>
      <c r="I239" s="13">
        <f t="shared" si="13"/>
        <v>0</v>
      </c>
      <c r="J239" s="13"/>
      <c r="K239" s="13"/>
      <c r="L239" s="13">
        <f t="shared" si="14"/>
        <v>1</v>
      </c>
      <c r="M239" s="13">
        <f>H239/E239*100</f>
        <v>0</v>
      </c>
    </row>
    <row r="240" spans="1:13" s="28" customFormat="1" ht="47.25">
      <c r="A240" s="138"/>
      <c r="B240" s="139"/>
      <c r="C240" s="36"/>
      <c r="D240" s="26" t="s">
        <v>56</v>
      </c>
      <c r="E240" s="27">
        <f>E241-E239</f>
        <v>46.8</v>
      </c>
      <c r="F240" s="27">
        <f>F241-F239</f>
        <v>944</v>
      </c>
      <c r="G240" s="27">
        <f>G241-G239</f>
        <v>89</v>
      </c>
      <c r="H240" s="27">
        <f>H241-H239</f>
        <v>89</v>
      </c>
      <c r="I240" s="13">
        <f t="shared" si="13"/>
        <v>0</v>
      </c>
      <c r="J240" s="13">
        <f>H240/G240*100</f>
        <v>100</v>
      </c>
      <c r="K240" s="27">
        <f>H240/F240*100</f>
        <v>9.427966101694915</v>
      </c>
      <c r="L240" s="13">
        <f t="shared" si="14"/>
        <v>42.2</v>
      </c>
      <c r="M240" s="13">
        <f>H240/E240*100</f>
        <v>190.17094017094018</v>
      </c>
    </row>
    <row r="241" spans="1:85" s="33" customFormat="1" ht="25.5" customHeight="1">
      <c r="A241" s="138"/>
      <c r="B241" s="139"/>
      <c r="C241" s="47"/>
      <c r="D241" s="26" t="s">
        <v>77</v>
      </c>
      <c r="E241" s="40">
        <f>SUM(E230:E232,E234:E239)</f>
        <v>45.8</v>
      </c>
      <c r="F241" s="40">
        <f>SUM(F230:F232,F234:F239)</f>
        <v>944</v>
      </c>
      <c r="G241" s="40">
        <f>SUM(G230:G232,G234:G239)</f>
        <v>89</v>
      </c>
      <c r="H241" s="40">
        <f>SUM(H230:H232,H234:H239)</f>
        <v>89</v>
      </c>
      <c r="I241" s="27">
        <f t="shared" si="13"/>
        <v>0</v>
      </c>
      <c r="J241" s="27">
        <f>H241/G241*100</f>
        <v>100</v>
      </c>
      <c r="K241" s="27">
        <f>H241/F241*100</f>
        <v>9.427966101694915</v>
      </c>
      <c r="L241" s="27">
        <f t="shared" si="14"/>
        <v>43.2</v>
      </c>
      <c r="M241" s="27">
        <f>H241/E241*100</f>
        <v>194.3231441048035</v>
      </c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</row>
    <row r="242" spans="1:13" ht="94.5">
      <c r="A242" s="128" t="s">
        <v>126</v>
      </c>
      <c r="B242" s="130" t="s">
        <v>127</v>
      </c>
      <c r="C242" s="16" t="s">
        <v>25</v>
      </c>
      <c r="D242" s="21" t="s">
        <v>128</v>
      </c>
      <c r="E242" s="13">
        <v>41.2</v>
      </c>
      <c r="F242" s="13">
        <v>1612.5</v>
      </c>
      <c r="G242" s="13">
        <v>30</v>
      </c>
      <c r="H242" s="13">
        <v>31.33</v>
      </c>
      <c r="I242" s="13">
        <f t="shared" si="13"/>
        <v>1.3299999999999983</v>
      </c>
      <c r="J242" s="13">
        <f>H242/G242*100</f>
        <v>104.43333333333334</v>
      </c>
      <c r="K242" s="13">
        <f>H242/F242*100</f>
        <v>1.9429457364341085</v>
      </c>
      <c r="L242" s="13">
        <f t="shared" si="14"/>
        <v>-9.870000000000005</v>
      </c>
      <c r="M242" s="13">
        <f>H242/E242*100</f>
        <v>76.04368932038834</v>
      </c>
    </row>
    <row r="243" spans="1:13" ht="31.5" customHeight="1">
      <c r="A243" s="133"/>
      <c r="B243" s="134"/>
      <c r="C243" s="18" t="s">
        <v>27</v>
      </c>
      <c r="D243" s="22" t="s">
        <v>28</v>
      </c>
      <c r="E243" s="39">
        <v>2017.7</v>
      </c>
      <c r="F243" s="13"/>
      <c r="G243" s="13"/>
      <c r="H243" s="39">
        <v>0.08</v>
      </c>
      <c r="I243" s="13">
        <f t="shared" si="13"/>
        <v>0.08</v>
      </c>
      <c r="J243" s="13"/>
      <c r="K243" s="13"/>
      <c r="L243" s="13">
        <f t="shared" si="14"/>
        <v>-2017.6200000000001</v>
      </c>
      <c r="M243" s="13">
        <f aca="true" t="shared" si="15" ref="M243:M259">H243/E243*100</f>
        <v>0.003964910541705903</v>
      </c>
    </row>
    <row r="244" spans="1:13" ht="15.75" customHeight="1" hidden="1">
      <c r="A244" s="133"/>
      <c r="B244" s="134"/>
      <c r="C244" s="18" t="s">
        <v>35</v>
      </c>
      <c r="D244" s="20" t="s">
        <v>36</v>
      </c>
      <c r="E244" s="13">
        <f>SUM(E245:E246)</f>
        <v>0</v>
      </c>
      <c r="F244" s="13">
        <f>SUM(F245:F246)</f>
        <v>0</v>
      </c>
      <c r="G244" s="13">
        <f>SUM(G245:G246)</f>
        <v>0</v>
      </c>
      <c r="H244" s="13">
        <f>SUM(H245:H246)</f>
        <v>0</v>
      </c>
      <c r="I244" s="13">
        <f t="shared" si="13"/>
        <v>0</v>
      </c>
      <c r="J244" s="13"/>
      <c r="K244" s="13"/>
      <c r="L244" s="13">
        <f t="shared" si="14"/>
        <v>0</v>
      </c>
      <c r="M244" s="13" t="e">
        <f t="shared" si="15"/>
        <v>#DIV/0!</v>
      </c>
    </row>
    <row r="245" spans="1:13" ht="63" customHeight="1" hidden="1">
      <c r="A245" s="133"/>
      <c r="B245" s="134"/>
      <c r="C245" s="16" t="s">
        <v>37</v>
      </c>
      <c r="D245" s="24" t="s">
        <v>38</v>
      </c>
      <c r="E245" s="13"/>
      <c r="F245" s="13"/>
      <c r="G245" s="13"/>
      <c r="H245" s="13"/>
      <c r="I245" s="13">
        <f t="shared" si="13"/>
        <v>0</v>
      </c>
      <c r="J245" s="13"/>
      <c r="K245" s="13"/>
      <c r="L245" s="13">
        <f t="shared" si="14"/>
        <v>0</v>
      </c>
      <c r="M245" s="13" t="e">
        <f t="shared" si="15"/>
        <v>#DIV/0!</v>
      </c>
    </row>
    <row r="246" spans="1:13" ht="47.25" customHeight="1" hidden="1">
      <c r="A246" s="133"/>
      <c r="B246" s="134"/>
      <c r="C246" s="16" t="s">
        <v>39</v>
      </c>
      <c r="D246" s="21" t="s">
        <v>40</v>
      </c>
      <c r="E246" s="13"/>
      <c r="F246" s="13"/>
      <c r="G246" s="13"/>
      <c r="H246" s="13"/>
      <c r="I246" s="13">
        <f t="shared" si="13"/>
        <v>0</v>
      </c>
      <c r="J246" s="13"/>
      <c r="K246" s="13"/>
      <c r="L246" s="13">
        <f t="shared" si="14"/>
        <v>0</v>
      </c>
      <c r="M246" s="13" t="e">
        <f t="shared" si="15"/>
        <v>#DIV/0!</v>
      </c>
    </row>
    <row r="247" spans="1:13" ht="15.75">
      <c r="A247" s="133"/>
      <c r="B247" s="134"/>
      <c r="C247" s="18" t="s">
        <v>41</v>
      </c>
      <c r="D247" s="20" t="s">
        <v>42</v>
      </c>
      <c r="E247" s="13"/>
      <c r="F247" s="13"/>
      <c r="G247" s="13"/>
      <c r="H247" s="13">
        <v>0.13</v>
      </c>
      <c r="I247" s="13">
        <f t="shared" si="13"/>
        <v>0.13</v>
      </c>
      <c r="J247" s="13"/>
      <c r="K247" s="13"/>
      <c r="L247" s="13">
        <f>H247-E247</f>
        <v>0.13</v>
      </c>
      <c r="M247" s="13"/>
    </row>
    <row r="248" spans="1:13" ht="31.5" hidden="1">
      <c r="A248" s="133"/>
      <c r="B248" s="134"/>
      <c r="C248" s="18" t="s">
        <v>43</v>
      </c>
      <c r="D248" s="20" t="s">
        <v>44</v>
      </c>
      <c r="E248" s="13"/>
      <c r="F248" s="13"/>
      <c r="G248" s="13"/>
      <c r="H248" s="13"/>
      <c r="I248" s="13">
        <f t="shared" si="13"/>
        <v>0</v>
      </c>
      <c r="J248" s="13"/>
      <c r="K248" s="13"/>
      <c r="L248" s="13">
        <f t="shared" si="14"/>
        <v>0</v>
      </c>
      <c r="M248" s="13"/>
    </row>
    <row r="249" spans="1:13" ht="15.75" customHeight="1" hidden="1">
      <c r="A249" s="133"/>
      <c r="B249" s="134"/>
      <c r="C249" s="18" t="s">
        <v>45</v>
      </c>
      <c r="D249" s="20" t="s">
        <v>46</v>
      </c>
      <c r="F249" s="13"/>
      <c r="G249" s="13"/>
      <c r="H249" s="13"/>
      <c r="I249" s="13">
        <f t="shared" si="13"/>
        <v>0</v>
      </c>
      <c r="J249" s="13"/>
      <c r="K249" s="13"/>
      <c r="L249" s="13">
        <f t="shared" si="14"/>
        <v>0</v>
      </c>
      <c r="M249" s="13"/>
    </row>
    <row r="250" spans="1:13" ht="15.75" hidden="1">
      <c r="A250" s="133"/>
      <c r="B250" s="134"/>
      <c r="C250" s="18" t="s">
        <v>47</v>
      </c>
      <c r="D250" s="20" t="s">
        <v>48</v>
      </c>
      <c r="E250" s="13"/>
      <c r="F250" s="39"/>
      <c r="G250" s="39"/>
      <c r="H250" s="13"/>
      <c r="I250" s="13">
        <f t="shared" si="13"/>
        <v>0</v>
      </c>
      <c r="J250" s="13"/>
      <c r="K250" s="13"/>
      <c r="L250" s="13">
        <f t="shared" si="14"/>
        <v>0</v>
      </c>
      <c r="M250" s="13"/>
    </row>
    <row r="251" spans="1:13" ht="31.5">
      <c r="A251" s="133"/>
      <c r="B251" s="134"/>
      <c r="C251" s="18" t="s">
        <v>49</v>
      </c>
      <c r="D251" s="20" t="s">
        <v>101</v>
      </c>
      <c r="E251" s="13"/>
      <c r="F251" s="39">
        <v>120</v>
      </c>
      <c r="G251" s="39"/>
      <c r="H251" s="13"/>
      <c r="I251" s="13">
        <f t="shared" si="13"/>
        <v>0</v>
      </c>
      <c r="J251" s="13"/>
      <c r="K251" s="13">
        <f>H251/F251*100</f>
        <v>0</v>
      </c>
      <c r="L251" s="13">
        <f t="shared" si="14"/>
        <v>0</v>
      </c>
      <c r="M251" s="13"/>
    </row>
    <row r="252" spans="1:13" ht="31.5" customHeight="1" hidden="1">
      <c r="A252" s="133"/>
      <c r="B252" s="134"/>
      <c r="C252" s="18" t="s">
        <v>80</v>
      </c>
      <c r="D252" s="20" t="s">
        <v>81</v>
      </c>
      <c r="E252" s="13"/>
      <c r="F252" s="39"/>
      <c r="G252" s="39"/>
      <c r="H252" s="13"/>
      <c r="I252" s="13">
        <f t="shared" si="13"/>
        <v>0</v>
      </c>
      <c r="J252" s="13"/>
      <c r="K252" s="13"/>
      <c r="L252" s="13">
        <f t="shared" si="14"/>
        <v>0</v>
      </c>
      <c r="M252" s="13"/>
    </row>
    <row r="253" spans="1:13" ht="15.75">
      <c r="A253" s="133"/>
      <c r="B253" s="134"/>
      <c r="C253" s="18" t="s">
        <v>51</v>
      </c>
      <c r="D253" s="20" t="s">
        <v>46</v>
      </c>
      <c r="E253" s="13">
        <v>-7086.8</v>
      </c>
      <c r="F253" s="39"/>
      <c r="G253" s="39"/>
      <c r="H253" s="13">
        <v>-7284.11</v>
      </c>
      <c r="I253" s="13">
        <f t="shared" si="13"/>
        <v>-7284.11</v>
      </c>
      <c r="J253" s="13"/>
      <c r="K253" s="13"/>
      <c r="L253" s="13">
        <f>H253-E253</f>
        <v>-197.3099999999995</v>
      </c>
      <c r="M253" s="13">
        <f t="shared" si="15"/>
        <v>102.7841903256759</v>
      </c>
    </row>
    <row r="254" spans="1:13" s="28" customFormat="1" ht="15.75" customHeight="1">
      <c r="A254" s="133"/>
      <c r="B254" s="134"/>
      <c r="C254" s="25"/>
      <c r="D254" s="26" t="s">
        <v>52</v>
      </c>
      <c r="E254" s="40">
        <f>SUM(E242:E244,E247:E253)</f>
        <v>-5027.9</v>
      </c>
      <c r="F254" s="40">
        <f>SUM(F242:F244,F247:F252)</f>
        <v>1732.5</v>
      </c>
      <c r="G254" s="40">
        <f>SUM(G242:G244,G247:G252)</f>
        <v>30</v>
      </c>
      <c r="H254" s="40">
        <f>SUM(H242:H244,H247:H253)</f>
        <v>-7252.57</v>
      </c>
      <c r="I254" s="13">
        <f t="shared" si="13"/>
        <v>-7282.57</v>
      </c>
      <c r="J254" s="13">
        <f aca="true" t="shared" si="16" ref="J254:J259">H254/G254*100</f>
        <v>-24175.233333333334</v>
      </c>
      <c r="K254" s="27">
        <f aca="true" t="shared" si="17" ref="K254:K259">H254/F254*100</f>
        <v>-418.61875901875896</v>
      </c>
      <c r="L254" s="13">
        <f t="shared" si="14"/>
        <v>-2224.67</v>
      </c>
      <c r="M254" s="13">
        <f t="shared" si="15"/>
        <v>144.24650450486288</v>
      </c>
    </row>
    <row r="255" spans="1:13" ht="15.75">
      <c r="A255" s="133"/>
      <c r="B255" s="134"/>
      <c r="C255" s="18" t="s">
        <v>35</v>
      </c>
      <c r="D255" s="20" t="s">
        <v>36</v>
      </c>
      <c r="E255" s="13">
        <f>E256</f>
        <v>396.2</v>
      </c>
      <c r="F255" s="13">
        <f>F256</f>
        <v>6990</v>
      </c>
      <c r="G255" s="13">
        <f>G256</f>
        <v>298</v>
      </c>
      <c r="H255" s="13">
        <f>H256</f>
        <v>893.15</v>
      </c>
      <c r="I255" s="13">
        <f t="shared" si="13"/>
        <v>595.15</v>
      </c>
      <c r="J255" s="13">
        <f t="shared" si="16"/>
        <v>299.7147651006711</v>
      </c>
      <c r="K255" s="13">
        <f t="shared" si="17"/>
        <v>12.777539341917024</v>
      </c>
      <c r="L255" s="13">
        <f t="shared" si="14"/>
        <v>496.95</v>
      </c>
      <c r="M255" s="13">
        <f t="shared" si="15"/>
        <v>225.42907622412923</v>
      </c>
    </row>
    <row r="256" spans="1:13" ht="53.25" customHeight="1" hidden="1">
      <c r="A256" s="133"/>
      <c r="B256" s="134"/>
      <c r="C256" s="16" t="s">
        <v>39</v>
      </c>
      <c r="D256" s="21" t="s">
        <v>40</v>
      </c>
      <c r="E256" s="13">
        <v>396.2</v>
      </c>
      <c r="F256" s="13">
        <v>6990</v>
      </c>
      <c r="G256" s="13">
        <v>298</v>
      </c>
      <c r="H256" s="13">
        <v>893.15</v>
      </c>
      <c r="I256" s="13">
        <f t="shared" si="13"/>
        <v>595.15</v>
      </c>
      <c r="J256" s="13">
        <f t="shared" si="16"/>
        <v>299.7147651006711</v>
      </c>
      <c r="K256" s="13">
        <f t="shared" si="17"/>
        <v>12.777539341917024</v>
      </c>
      <c r="L256" s="13">
        <f t="shared" si="14"/>
        <v>496.95</v>
      </c>
      <c r="M256" s="13">
        <f t="shared" si="15"/>
        <v>225.42907622412923</v>
      </c>
    </row>
    <row r="257" spans="1:13" s="28" customFormat="1" ht="15.75" customHeight="1">
      <c r="A257" s="133"/>
      <c r="B257" s="134"/>
      <c r="C257" s="25"/>
      <c r="D257" s="26" t="s">
        <v>55</v>
      </c>
      <c r="E257" s="40">
        <f>E255</f>
        <v>396.2</v>
      </c>
      <c r="F257" s="40">
        <f>F255</f>
        <v>6990</v>
      </c>
      <c r="G257" s="40">
        <f>G255</f>
        <v>298</v>
      </c>
      <c r="H257" s="40">
        <f>H255</f>
        <v>893.15</v>
      </c>
      <c r="I257" s="13">
        <f t="shared" si="13"/>
        <v>595.15</v>
      </c>
      <c r="J257" s="13">
        <f t="shared" si="16"/>
        <v>299.7147651006711</v>
      </c>
      <c r="K257" s="27">
        <f t="shared" si="17"/>
        <v>12.777539341917024</v>
      </c>
      <c r="L257" s="13">
        <f t="shared" si="14"/>
        <v>496.95</v>
      </c>
      <c r="M257" s="13">
        <f t="shared" si="15"/>
        <v>225.42907622412923</v>
      </c>
    </row>
    <row r="258" spans="1:13" s="28" customFormat="1" ht="47.25">
      <c r="A258" s="133"/>
      <c r="B258" s="134"/>
      <c r="C258" s="25"/>
      <c r="D258" s="26" t="s">
        <v>56</v>
      </c>
      <c r="E258" s="40">
        <f>E259-E253</f>
        <v>2455.1000000000004</v>
      </c>
      <c r="F258" s="40">
        <f>F259-F253</f>
        <v>8722.5</v>
      </c>
      <c r="G258" s="40">
        <f>G259-G253</f>
        <v>328</v>
      </c>
      <c r="H258" s="40">
        <f>H259-H253</f>
        <v>924.6899999999996</v>
      </c>
      <c r="I258" s="13">
        <f t="shared" si="13"/>
        <v>596.6899999999996</v>
      </c>
      <c r="J258" s="13">
        <f t="shared" si="16"/>
        <v>281.9176829268292</v>
      </c>
      <c r="K258" s="27">
        <f t="shared" si="17"/>
        <v>10.601203783318997</v>
      </c>
      <c r="L258" s="13">
        <f t="shared" si="14"/>
        <v>-1530.4100000000008</v>
      </c>
      <c r="M258" s="13">
        <f t="shared" si="15"/>
        <v>37.66404627102764</v>
      </c>
    </row>
    <row r="259" spans="1:85" s="33" customFormat="1" ht="15.75">
      <c r="A259" s="129"/>
      <c r="B259" s="136"/>
      <c r="C259" s="30"/>
      <c r="D259" s="26" t="s">
        <v>77</v>
      </c>
      <c r="E259" s="40">
        <f>E254+E257</f>
        <v>-4631.7</v>
      </c>
      <c r="F259" s="40">
        <f>F254+F257</f>
        <v>8722.5</v>
      </c>
      <c r="G259" s="40">
        <f>G254+G257</f>
        <v>328</v>
      </c>
      <c r="H259" s="40">
        <f>H254+H257</f>
        <v>-6359.42</v>
      </c>
      <c r="I259" s="27">
        <f t="shared" si="13"/>
        <v>-6687.42</v>
      </c>
      <c r="J259" s="27">
        <f t="shared" si="16"/>
        <v>-1938.84756097561</v>
      </c>
      <c r="K259" s="27">
        <f t="shared" si="17"/>
        <v>-72.90822585267985</v>
      </c>
      <c r="L259" s="27">
        <f t="shared" si="14"/>
        <v>-1727.7200000000003</v>
      </c>
      <c r="M259" s="27">
        <f t="shared" si="15"/>
        <v>137.30207051406612</v>
      </c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</row>
    <row r="260" spans="1:13" s="28" customFormat="1" ht="31.5" customHeight="1" hidden="1">
      <c r="A260" s="130">
        <v>943</v>
      </c>
      <c r="B260" s="130" t="s">
        <v>129</v>
      </c>
      <c r="C260" s="18" t="s">
        <v>27</v>
      </c>
      <c r="D260" s="22" t="s">
        <v>28</v>
      </c>
      <c r="E260" s="39"/>
      <c r="F260" s="40"/>
      <c r="G260" s="40"/>
      <c r="H260" s="39"/>
      <c r="I260" s="13">
        <f t="shared" si="13"/>
        <v>0</v>
      </c>
      <c r="J260" s="13"/>
      <c r="K260" s="13"/>
      <c r="L260" s="13">
        <f t="shared" si="14"/>
        <v>0</v>
      </c>
      <c r="M260" s="13"/>
    </row>
    <row r="261" spans="1:13" s="28" customFormat="1" ht="94.5" hidden="1">
      <c r="A261" s="133"/>
      <c r="B261" s="139"/>
      <c r="C261" s="16" t="s">
        <v>29</v>
      </c>
      <c r="D261" s="23" t="s">
        <v>30</v>
      </c>
      <c r="E261" s="39"/>
      <c r="F261" s="40"/>
      <c r="G261" s="40"/>
      <c r="H261" s="39"/>
      <c r="I261" s="13">
        <f t="shared" si="13"/>
        <v>0</v>
      </c>
      <c r="J261" s="13"/>
      <c r="K261" s="13"/>
      <c r="L261" s="13">
        <f t="shared" si="14"/>
        <v>0</v>
      </c>
      <c r="M261" s="13"/>
    </row>
    <row r="262" spans="1:13" s="28" customFormat="1" ht="15.75" customHeight="1" hidden="1">
      <c r="A262" s="133"/>
      <c r="B262" s="139"/>
      <c r="C262" s="18" t="s">
        <v>35</v>
      </c>
      <c r="D262" s="20" t="s">
        <v>36</v>
      </c>
      <c r="E262" s="13">
        <f>SUM(E263:E264)</f>
        <v>0</v>
      </c>
      <c r="F262" s="13">
        <f>SUM(F263:F264)</f>
        <v>0</v>
      </c>
      <c r="G262" s="13">
        <f>SUM(G263:G264)</f>
        <v>0</v>
      </c>
      <c r="H262" s="13">
        <f>SUM(H263:H264)</f>
        <v>0</v>
      </c>
      <c r="I262" s="13">
        <f t="shared" si="13"/>
        <v>0</v>
      </c>
      <c r="J262" s="13"/>
      <c r="K262" s="13"/>
      <c r="L262" s="13">
        <f t="shared" si="14"/>
        <v>0</v>
      </c>
      <c r="M262" s="13"/>
    </row>
    <row r="263" spans="1:13" s="28" customFormat="1" ht="56.25" customHeight="1" hidden="1">
      <c r="A263" s="133"/>
      <c r="B263" s="139"/>
      <c r="C263" s="16" t="s">
        <v>37</v>
      </c>
      <c r="D263" s="24" t="s">
        <v>38</v>
      </c>
      <c r="E263" s="13"/>
      <c r="F263" s="13"/>
      <c r="G263" s="13"/>
      <c r="H263" s="13"/>
      <c r="I263" s="13">
        <f t="shared" si="13"/>
        <v>0</v>
      </c>
      <c r="J263" s="13"/>
      <c r="K263" s="13"/>
      <c r="L263" s="13">
        <f t="shared" si="14"/>
        <v>0</v>
      </c>
      <c r="M263" s="13"/>
    </row>
    <row r="264" spans="1:13" s="28" customFormat="1" ht="47.25" customHeight="1" hidden="1">
      <c r="A264" s="133"/>
      <c r="B264" s="139"/>
      <c r="C264" s="16" t="s">
        <v>39</v>
      </c>
      <c r="D264" s="21" t="s">
        <v>40</v>
      </c>
      <c r="E264" s="13"/>
      <c r="F264" s="13"/>
      <c r="G264" s="13"/>
      <c r="H264" s="13"/>
      <c r="I264" s="13">
        <f t="shared" si="13"/>
        <v>0</v>
      </c>
      <c r="J264" s="13"/>
      <c r="K264" s="13"/>
      <c r="L264" s="13">
        <f t="shared" si="14"/>
        <v>0</v>
      </c>
      <c r="M264" s="13"/>
    </row>
    <row r="265" spans="1:13" s="28" customFormat="1" ht="15.75" customHeight="1" hidden="1">
      <c r="A265" s="133"/>
      <c r="B265" s="139"/>
      <c r="C265" s="18" t="s">
        <v>41</v>
      </c>
      <c r="D265" s="20" t="s">
        <v>42</v>
      </c>
      <c r="E265" s="39"/>
      <c r="F265" s="40"/>
      <c r="G265" s="40"/>
      <c r="H265" s="39"/>
      <c r="I265" s="13">
        <f t="shared" si="13"/>
        <v>0</v>
      </c>
      <c r="J265" s="13"/>
      <c r="K265" s="13"/>
      <c r="L265" s="13">
        <f t="shared" si="14"/>
        <v>0</v>
      </c>
      <c r="M265" s="13"/>
    </row>
    <row r="266" spans="1:13" s="28" customFormat="1" ht="15.75" customHeight="1" hidden="1">
      <c r="A266" s="133"/>
      <c r="B266" s="139"/>
      <c r="C266" s="18" t="s">
        <v>43</v>
      </c>
      <c r="D266" s="20" t="s">
        <v>44</v>
      </c>
      <c r="E266" s="39"/>
      <c r="F266" s="40"/>
      <c r="G266" s="40"/>
      <c r="H266" s="39"/>
      <c r="I266" s="13">
        <f aca="true" t="shared" si="18" ref="I266:I332">H266-G266</f>
        <v>0</v>
      </c>
      <c r="J266" s="13"/>
      <c r="K266" s="13"/>
      <c r="L266" s="13">
        <f t="shared" si="14"/>
        <v>0</v>
      </c>
      <c r="M266" s="13"/>
    </row>
    <row r="267" spans="1:13" s="28" customFormat="1" ht="15.75" customHeight="1" hidden="1">
      <c r="A267" s="133"/>
      <c r="B267" s="139"/>
      <c r="C267" s="18" t="s">
        <v>45</v>
      </c>
      <c r="D267" s="20" t="s">
        <v>46</v>
      </c>
      <c r="E267" s="48"/>
      <c r="F267" s="40"/>
      <c r="G267" s="40"/>
      <c r="H267" s="39"/>
      <c r="I267" s="13">
        <f t="shared" si="18"/>
        <v>0</v>
      </c>
      <c r="J267" s="13"/>
      <c r="K267" s="13"/>
      <c r="L267" s="13">
        <f>H267-E267</f>
        <v>0</v>
      </c>
      <c r="M267" s="13">
        <f>H267/E271*100</f>
        <v>0</v>
      </c>
    </row>
    <row r="268" spans="1:13" s="28" customFormat="1" ht="16.5" customHeight="1">
      <c r="A268" s="133"/>
      <c r="B268" s="139"/>
      <c r="C268" s="18" t="s">
        <v>47</v>
      </c>
      <c r="D268" s="20" t="s">
        <v>48</v>
      </c>
      <c r="E268" s="39"/>
      <c r="F268" s="39">
        <v>301092</v>
      </c>
      <c r="G268" s="39"/>
      <c r="H268" s="39"/>
      <c r="I268" s="13">
        <f t="shared" si="18"/>
        <v>0</v>
      </c>
      <c r="J268" s="13"/>
      <c r="K268" s="13">
        <f>H268/F268*100</f>
        <v>0</v>
      </c>
      <c r="L268" s="13">
        <f>H268-E268</f>
        <v>0</v>
      </c>
      <c r="M268" s="13"/>
    </row>
    <row r="269" spans="1:13" s="28" customFormat="1" ht="16.5" customHeight="1">
      <c r="A269" s="133"/>
      <c r="B269" s="139"/>
      <c r="C269" s="18" t="s">
        <v>49</v>
      </c>
      <c r="D269" s="20" t="s">
        <v>101</v>
      </c>
      <c r="E269" s="39"/>
      <c r="F269" s="39">
        <v>95</v>
      </c>
      <c r="G269" s="39"/>
      <c r="H269" s="39"/>
      <c r="I269" s="13">
        <f t="shared" si="18"/>
        <v>0</v>
      </c>
      <c r="J269" s="13"/>
      <c r="K269" s="13">
        <f>H269/F269*100</f>
        <v>0</v>
      </c>
      <c r="L269" s="13">
        <f aca="true" t="shared" si="19" ref="L269:L335">H269-E269</f>
        <v>0</v>
      </c>
      <c r="M269" s="13"/>
    </row>
    <row r="270" spans="1:13" s="28" customFormat="1" ht="16.5" customHeight="1" hidden="1">
      <c r="A270" s="133"/>
      <c r="B270" s="139"/>
      <c r="C270" s="18" t="s">
        <v>69</v>
      </c>
      <c r="D270" s="21" t="s">
        <v>70</v>
      </c>
      <c r="E270" s="39"/>
      <c r="F270" s="39"/>
      <c r="G270" s="39"/>
      <c r="H270" s="39"/>
      <c r="I270" s="13">
        <f t="shared" si="18"/>
        <v>0</v>
      </c>
      <c r="J270" s="13"/>
      <c r="K270" s="13"/>
      <c r="L270" s="13">
        <f t="shared" si="19"/>
        <v>0</v>
      </c>
      <c r="M270" s="13" t="e">
        <f>H270/E270*100</f>
        <v>#DIV/0!</v>
      </c>
    </row>
    <row r="271" spans="1:13" s="28" customFormat="1" ht="16.5" customHeight="1">
      <c r="A271" s="133"/>
      <c r="B271" s="139"/>
      <c r="C271" s="18" t="s">
        <v>51</v>
      </c>
      <c r="D271" s="20" t="s">
        <v>46</v>
      </c>
      <c r="E271" s="39">
        <v>-10140</v>
      </c>
      <c r="F271" s="39"/>
      <c r="G271" s="39"/>
      <c r="H271" s="39">
        <v>-235.95</v>
      </c>
      <c r="I271" s="13">
        <f t="shared" si="18"/>
        <v>-235.95</v>
      </c>
      <c r="J271" s="13"/>
      <c r="K271" s="13"/>
      <c r="L271" s="13">
        <f t="shared" si="19"/>
        <v>9904.05</v>
      </c>
      <c r="M271" s="13">
        <f>H271/E271*100</f>
        <v>2.3269230769230766</v>
      </c>
    </row>
    <row r="272" spans="1:13" s="28" customFormat="1" ht="47.25">
      <c r="A272" s="133"/>
      <c r="B272" s="139"/>
      <c r="C272" s="36"/>
      <c r="D272" s="26" t="s">
        <v>56</v>
      </c>
      <c r="E272" s="40">
        <f>E273-E271</f>
        <v>0</v>
      </c>
      <c r="F272" s="40">
        <f>F273-F271</f>
        <v>301187</v>
      </c>
      <c r="G272" s="40">
        <f>G273-G271</f>
        <v>0</v>
      </c>
      <c r="H272" s="40">
        <f>H273-H271</f>
        <v>0</v>
      </c>
      <c r="I272" s="13">
        <f t="shared" si="18"/>
        <v>0</v>
      </c>
      <c r="J272" s="13"/>
      <c r="K272" s="27">
        <f>H272/F272*100</f>
        <v>0</v>
      </c>
      <c r="L272" s="13">
        <f t="shared" si="19"/>
        <v>0</v>
      </c>
      <c r="M272" s="13"/>
    </row>
    <row r="273" spans="1:85" s="33" customFormat="1" ht="15.75">
      <c r="A273" s="129"/>
      <c r="B273" s="140"/>
      <c r="C273" s="30"/>
      <c r="D273" s="26" t="s">
        <v>77</v>
      </c>
      <c r="E273" s="40">
        <f>SUM(E260:E262,E265:E271)</f>
        <v>-10140</v>
      </c>
      <c r="F273" s="40">
        <f>SUM(F260:F262,F265:F271)</f>
        <v>301187</v>
      </c>
      <c r="G273" s="40">
        <f>SUM(G260:G262,G265:G271)</f>
        <v>0</v>
      </c>
      <c r="H273" s="40">
        <f>SUM(H260:H262,H265:H271)</f>
        <v>-235.95</v>
      </c>
      <c r="I273" s="27">
        <f t="shared" si="18"/>
        <v>-235.95</v>
      </c>
      <c r="J273" s="27"/>
      <c r="K273" s="27">
        <f>H273/F273*100</f>
        <v>-0.07834003459644673</v>
      </c>
      <c r="L273" s="27">
        <f t="shared" si="19"/>
        <v>9904.05</v>
      </c>
      <c r="M273" s="27">
        <f>H273/E273*100</f>
        <v>2.3269230769230766</v>
      </c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</row>
    <row r="274" spans="1:13" ht="31.5" customHeight="1">
      <c r="A274" s="128" t="s">
        <v>130</v>
      </c>
      <c r="B274" s="130" t="s">
        <v>131</v>
      </c>
      <c r="C274" s="18" t="s">
        <v>27</v>
      </c>
      <c r="D274" s="22" t="s">
        <v>28</v>
      </c>
      <c r="E274" s="13">
        <v>2</v>
      </c>
      <c r="F274" s="13"/>
      <c r="G274" s="13"/>
      <c r="H274" s="13"/>
      <c r="I274" s="13">
        <f t="shared" si="18"/>
        <v>0</v>
      </c>
      <c r="J274" s="13"/>
      <c r="K274" s="13"/>
      <c r="L274" s="13">
        <f t="shared" si="19"/>
        <v>-2</v>
      </c>
      <c r="M274" s="13">
        <f>H274/E274*100</f>
        <v>0</v>
      </c>
    </row>
    <row r="275" spans="1:13" ht="15.75" hidden="1">
      <c r="A275" s="132"/>
      <c r="B275" s="134"/>
      <c r="C275" s="18" t="s">
        <v>35</v>
      </c>
      <c r="D275" s="20" t="s">
        <v>36</v>
      </c>
      <c r="E275" s="13">
        <f>SUM(E276:E277)</f>
        <v>0</v>
      </c>
      <c r="F275" s="13">
        <f>SUM(F276:F277)</f>
        <v>0</v>
      </c>
      <c r="G275" s="13">
        <f>SUM(G276:G277)</f>
        <v>0</v>
      </c>
      <c r="H275" s="13">
        <f>SUM(H276:H277)</f>
        <v>0</v>
      </c>
      <c r="I275" s="13">
        <f t="shared" si="18"/>
        <v>0</v>
      </c>
      <c r="J275" s="13"/>
      <c r="K275" s="13"/>
      <c r="L275" s="13">
        <f t="shared" si="19"/>
        <v>0</v>
      </c>
      <c r="M275" s="13"/>
    </row>
    <row r="276" spans="1:13" ht="31.5" customHeight="1" hidden="1">
      <c r="A276" s="132"/>
      <c r="B276" s="134"/>
      <c r="C276" s="16" t="s">
        <v>60</v>
      </c>
      <c r="D276" s="21" t="s">
        <v>61</v>
      </c>
      <c r="E276" s="13"/>
      <c r="F276" s="13"/>
      <c r="G276" s="13"/>
      <c r="H276" s="13"/>
      <c r="I276" s="13">
        <f t="shared" si="18"/>
        <v>0</v>
      </c>
      <c r="J276" s="13"/>
      <c r="K276" s="13"/>
      <c r="L276" s="13">
        <f t="shared" si="19"/>
        <v>0</v>
      </c>
      <c r="M276" s="13"/>
    </row>
    <row r="277" spans="1:13" ht="47.25" customHeight="1" hidden="1">
      <c r="A277" s="132"/>
      <c r="B277" s="134"/>
      <c r="C277" s="16" t="s">
        <v>39</v>
      </c>
      <c r="D277" s="21" t="s">
        <v>40</v>
      </c>
      <c r="E277" s="13"/>
      <c r="F277" s="13">
        <f>2050.9-2050.9</f>
        <v>0</v>
      </c>
      <c r="G277" s="13"/>
      <c r="H277" s="13"/>
      <c r="I277" s="13">
        <f t="shared" si="18"/>
        <v>0</v>
      </c>
      <c r="J277" s="13"/>
      <c r="K277" s="13"/>
      <c r="L277" s="13">
        <f t="shared" si="19"/>
        <v>0</v>
      </c>
      <c r="M277" s="13"/>
    </row>
    <row r="278" spans="1:13" ht="15.75" customHeight="1" hidden="1">
      <c r="A278" s="132"/>
      <c r="B278" s="134"/>
      <c r="C278" s="18" t="s">
        <v>41</v>
      </c>
      <c r="D278" s="20" t="s">
        <v>42</v>
      </c>
      <c r="E278" s="13"/>
      <c r="F278" s="13"/>
      <c r="G278" s="13"/>
      <c r="H278" s="13"/>
      <c r="I278" s="13">
        <f t="shared" si="18"/>
        <v>0</v>
      </c>
      <c r="J278" s="13"/>
      <c r="K278" s="13"/>
      <c r="L278" s="13">
        <f t="shared" si="19"/>
        <v>0</v>
      </c>
      <c r="M278" s="13"/>
    </row>
    <row r="279" spans="1:13" ht="15.75" customHeight="1" hidden="1">
      <c r="A279" s="132"/>
      <c r="B279" s="134"/>
      <c r="C279" s="18" t="s">
        <v>43</v>
      </c>
      <c r="D279" s="20" t="s">
        <v>44</v>
      </c>
      <c r="E279" s="13"/>
      <c r="F279" s="13"/>
      <c r="G279" s="13"/>
      <c r="H279" s="13"/>
      <c r="I279" s="13">
        <f t="shared" si="18"/>
        <v>0</v>
      </c>
      <c r="J279" s="13"/>
      <c r="K279" s="13"/>
      <c r="L279" s="13">
        <f t="shared" si="19"/>
        <v>0</v>
      </c>
      <c r="M279" s="13"/>
    </row>
    <row r="280" spans="1:13" ht="15.75" customHeight="1" hidden="1">
      <c r="A280" s="132"/>
      <c r="B280" s="134"/>
      <c r="C280" s="18" t="s">
        <v>45</v>
      </c>
      <c r="D280" s="20" t="s">
        <v>46</v>
      </c>
      <c r="F280" s="13"/>
      <c r="G280" s="13"/>
      <c r="H280" s="13"/>
      <c r="I280" s="13">
        <f t="shared" si="18"/>
        <v>0</v>
      </c>
      <c r="J280" s="13"/>
      <c r="K280" s="13"/>
      <c r="L280" s="13">
        <f t="shared" si="19"/>
        <v>0</v>
      </c>
      <c r="M280" s="13"/>
    </row>
    <row r="281" spans="1:13" ht="15.75">
      <c r="A281" s="132"/>
      <c r="B281" s="134"/>
      <c r="C281" s="18" t="s">
        <v>47</v>
      </c>
      <c r="D281" s="20" t="s">
        <v>132</v>
      </c>
      <c r="E281" s="13"/>
      <c r="F281" s="13">
        <v>764816</v>
      </c>
      <c r="G281" s="13"/>
      <c r="H281" s="13"/>
      <c r="I281" s="13">
        <f t="shared" si="18"/>
        <v>0</v>
      </c>
      <c r="J281" s="13"/>
      <c r="K281" s="13">
        <f aca="true" t="shared" si="20" ref="K281:K349">H281/F281*100</f>
        <v>0</v>
      </c>
      <c r="L281" s="13">
        <f t="shared" si="19"/>
        <v>0</v>
      </c>
      <c r="M281" s="13"/>
    </row>
    <row r="282" spans="1:13" ht="31.5">
      <c r="A282" s="132"/>
      <c r="B282" s="134"/>
      <c r="C282" s="18" t="s">
        <v>49</v>
      </c>
      <c r="D282" s="20" t="s">
        <v>101</v>
      </c>
      <c r="E282" s="13"/>
      <c r="F282" s="13">
        <v>25</v>
      </c>
      <c r="G282" s="13"/>
      <c r="H282" s="13"/>
      <c r="I282" s="13">
        <f t="shared" si="18"/>
        <v>0</v>
      </c>
      <c r="J282" s="13"/>
      <c r="K282" s="13">
        <f t="shared" si="20"/>
        <v>0</v>
      </c>
      <c r="L282" s="13">
        <f t="shared" si="19"/>
        <v>0</v>
      </c>
      <c r="M282" s="13"/>
    </row>
    <row r="283" spans="1:13" ht="15.75">
      <c r="A283" s="132"/>
      <c r="B283" s="134"/>
      <c r="C283" s="18" t="s">
        <v>51</v>
      </c>
      <c r="D283" s="20" t="s">
        <v>46</v>
      </c>
      <c r="E283" s="13">
        <v>-124064.8</v>
      </c>
      <c r="F283" s="13"/>
      <c r="G283" s="13"/>
      <c r="H283" s="13">
        <v>-77621.45</v>
      </c>
      <c r="I283" s="13">
        <f t="shared" si="18"/>
        <v>-77621.45</v>
      </c>
      <c r="J283" s="13"/>
      <c r="K283" s="13"/>
      <c r="L283" s="13">
        <f t="shared" si="19"/>
        <v>46443.350000000006</v>
      </c>
      <c r="M283" s="13">
        <f>H283/E283*100</f>
        <v>62.56524816063863</v>
      </c>
    </row>
    <row r="284" spans="1:13" s="28" customFormat="1" ht="31.5" customHeight="1">
      <c r="A284" s="132"/>
      <c r="B284" s="134"/>
      <c r="C284" s="36"/>
      <c r="D284" s="26" t="s">
        <v>56</v>
      </c>
      <c r="E284" s="27">
        <f>E285-E283</f>
        <v>2</v>
      </c>
      <c r="F284" s="27">
        <f>F285-F283</f>
        <v>764841</v>
      </c>
      <c r="G284" s="27">
        <f>G285-G283</f>
        <v>0</v>
      </c>
      <c r="H284" s="27">
        <f>H285-H283</f>
        <v>0</v>
      </c>
      <c r="I284" s="13">
        <f t="shared" si="18"/>
        <v>0</v>
      </c>
      <c r="J284" s="13"/>
      <c r="K284" s="27">
        <f t="shared" si="20"/>
        <v>0</v>
      </c>
      <c r="L284" s="13">
        <f t="shared" si="19"/>
        <v>-2</v>
      </c>
      <c r="M284" s="13">
        <f>H284/E284*100</f>
        <v>0</v>
      </c>
    </row>
    <row r="285" spans="1:85" s="33" customFormat="1" ht="15.75">
      <c r="A285" s="135"/>
      <c r="B285" s="136"/>
      <c r="C285" s="41"/>
      <c r="D285" s="26" t="s">
        <v>77</v>
      </c>
      <c r="E285" s="27">
        <f>SUM(E274:E275,E278:E283)</f>
        <v>-124062.8</v>
      </c>
      <c r="F285" s="27">
        <f>SUM(F274:F275,F278:F283)</f>
        <v>764841</v>
      </c>
      <c r="G285" s="27">
        <f>SUM(G274:G275,G278:G283)</f>
        <v>0</v>
      </c>
      <c r="H285" s="27">
        <f>SUM(H274:H275,H278:H283)</f>
        <v>-77621.45</v>
      </c>
      <c r="I285" s="27">
        <f t="shared" si="18"/>
        <v>-77621.45</v>
      </c>
      <c r="J285" s="27"/>
      <c r="K285" s="27">
        <f t="shared" si="20"/>
        <v>-10.14870410974307</v>
      </c>
      <c r="L285" s="27">
        <f t="shared" si="19"/>
        <v>46441.350000000006</v>
      </c>
      <c r="M285" s="27">
        <f>H285/E285*100</f>
        <v>62.56625676673426</v>
      </c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</row>
    <row r="286" spans="1:13" s="28" customFormat="1" ht="15.75" customHeight="1" hidden="1">
      <c r="A286" s="128" t="s">
        <v>133</v>
      </c>
      <c r="B286" s="130" t="s">
        <v>134</v>
      </c>
      <c r="C286" s="18" t="s">
        <v>27</v>
      </c>
      <c r="D286" s="22" t="s">
        <v>28</v>
      </c>
      <c r="E286" s="13"/>
      <c r="F286" s="13"/>
      <c r="G286" s="13"/>
      <c r="H286" s="13"/>
      <c r="I286" s="13">
        <f t="shared" si="18"/>
        <v>0</v>
      </c>
      <c r="J286" s="13"/>
      <c r="K286" s="13"/>
      <c r="L286" s="13">
        <f t="shared" si="19"/>
        <v>0</v>
      </c>
      <c r="M286" s="13"/>
    </row>
    <row r="287" spans="1:13" s="28" customFormat="1" ht="15.75" customHeight="1" hidden="1">
      <c r="A287" s="132"/>
      <c r="B287" s="134"/>
      <c r="C287" s="18" t="s">
        <v>41</v>
      </c>
      <c r="D287" s="20" t="s">
        <v>42</v>
      </c>
      <c r="E287" s="13"/>
      <c r="F287" s="13"/>
      <c r="G287" s="13"/>
      <c r="H287" s="13"/>
      <c r="I287" s="13">
        <f t="shared" si="18"/>
        <v>0</v>
      </c>
      <c r="J287" s="13"/>
      <c r="K287" s="13"/>
      <c r="L287" s="13">
        <f t="shared" si="19"/>
        <v>0</v>
      </c>
      <c r="M287" s="13"/>
    </row>
    <row r="288" spans="1:13" s="28" customFormat="1" ht="85.5" customHeight="1">
      <c r="A288" s="133"/>
      <c r="B288" s="133"/>
      <c r="C288" s="18" t="s">
        <v>43</v>
      </c>
      <c r="D288" s="20" t="s">
        <v>135</v>
      </c>
      <c r="E288" s="13">
        <v>7843.3</v>
      </c>
      <c r="F288" s="13">
        <v>141706.4</v>
      </c>
      <c r="G288" s="13">
        <v>11808.9</v>
      </c>
      <c r="H288" s="13">
        <v>1511.57</v>
      </c>
      <c r="I288" s="13">
        <f t="shared" si="18"/>
        <v>-10297.33</v>
      </c>
      <c r="J288" s="13">
        <f>H288/G288*100</f>
        <v>12.800260820228809</v>
      </c>
      <c r="K288" s="13">
        <f t="shared" si="20"/>
        <v>1.066691412667318</v>
      </c>
      <c r="L288" s="13">
        <f>H288-E288</f>
        <v>-6331.7300000000005</v>
      </c>
      <c r="M288" s="13">
        <f>H288/E288*100</f>
        <v>19.272117603559725</v>
      </c>
    </row>
    <row r="289" spans="1:13" s="28" customFormat="1" ht="11.25" customHeight="1" hidden="1">
      <c r="A289" s="133"/>
      <c r="B289" s="133"/>
      <c r="C289" s="18" t="s">
        <v>45</v>
      </c>
      <c r="D289" s="20" t="s">
        <v>46</v>
      </c>
      <c r="E289" s="48"/>
      <c r="F289" s="13"/>
      <c r="G289" s="13"/>
      <c r="H289" s="13"/>
      <c r="I289" s="13">
        <f t="shared" si="18"/>
        <v>0</v>
      </c>
      <c r="J289" s="13"/>
      <c r="K289" s="13"/>
      <c r="L289" s="13">
        <f>H289-E289</f>
        <v>0</v>
      </c>
      <c r="M289" s="13"/>
    </row>
    <row r="290" spans="1:13" s="28" customFormat="1" ht="15.75" customHeight="1">
      <c r="A290" s="133"/>
      <c r="B290" s="133"/>
      <c r="C290" s="18" t="s">
        <v>49</v>
      </c>
      <c r="D290" s="20" t="s">
        <v>101</v>
      </c>
      <c r="E290" s="13"/>
      <c r="F290" s="13">
        <v>25.7</v>
      </c>
      <c r="G290" s="13"/>
      <c r="H290" s="13"/>
      <c r="I290" s="13">
        <f t="shared" si="18"/>
        <v>0</v>
      </c>
      <c r="J290" s="13"/>
      <c r="K290" s="13">
        <f t="shared" si="20"/>
        <v>0</v>
      </c>
      <c r="L290" s="13">
        <f t="shared" si="19"/>
        <v>0</v>
      </c>
      <c r="M290" s="13"/>
    </row>
    <row r="291" spans="1:13" s="28" customFormat="1" ht="15.75" customHeight="1" hidden="1">
      <c r="A291" s="133"/>
      <c r="B291" s="133"/>
      <c r="C291" s="18" t="s">
        <v>69</v>
      </c>
      <c r="D291" s="21" t="s">
        <v>70</v>
      </c>
      <c r="E291" s="13"/>
      <c r="F291" s="13"/>
      <c r="G291" s="13"/>
      <c r="H291" s="13"/>
      <c r="I291" s="13">
        <f t="shared" si="18"/>
        <v>0</v>
      </c>
      <c r="J291" s="13"/>
      <c r="K291" s="13"/>
      <c r="L291" s="13">
        <f t="shared" si="19"/>
        <v>0</v>
      </c>
      <c r="M291" s="13"/>
    </row>
    <row r="292" spans="1:13" s="28" customFormat="1" ht="15.75" customHeight="1">
      <c r="A292" s="133"/>
      <c r="B292" s="133"/>
      <c r="C292" s="18" t="s">
        <v>51</v>
      </c>
      <c r="D292" s="20" t="s">
        <v>46</v>
      </c>
      <c r="E292" s="13">
        <v>-1092.6</v>
      </c>
      <c r="F292" s="13"/>
      <c r="G292" s="13"/>
      <c r="H292" s="13"/>
      <c r="I292" s="13"/>
      <c r="J292" s="13"/>
      <c r="K292" s="13"/>
      <c r="L292" s="13"/>
      <c r="M292" s="13"/>
    </row>
    <row r="293" spans="1:13" s="28" customFormat="1" ht="15.75" customHeight="1">
      <c r="A293" s="133"/>
      <c r="B293" s="133"/>
      <c r="C293" s="36"/>
      <c r="D293" s="26" t="s">
        <v>52</v>
      </c>
      <c r="E293" s="27">
        <f>SUM(E286:E292)</f>
        <v>6750.700000000001</v>
      </c>
      <c r="F293" s="27">
        <f>SUM(F286:F292)</f>
        <v>141732.1</v>
      </c>
      <c r="G293" s="27">
        <f>SUM(G286:G292)</f>
        <v>11808.9</v>
      </c>
      <c r="H293" s="27">
        <f>SUM(H286:H292)</f>
        <v>1511.57</v>
      </c>
      <c r="I293" s="13">
        <f t="shared" si="18"/>
        <v>-10297.33</v>
      </c>
      <c r="J293" s="13">
        <f aca="true" t="shared" si="21" ref="J293:J301">H293/G293*100</f>
        <v>12.800260820228809</v>
      </c>
      <c r="K293" s="27">
        <f t="shared" si="20"/>
        <v>1.0664979916335113</v>
      </c>
      <c r="L293" s="13">
        <f t="shared" si="19"/>
        <v>-5239.130000000001</v>
      </c>
      <c r="M293" s="13">
        <f>H293/E293*100</f>
        <v>22.391307568104047</v>
      </c>
    </row>
    <row r="294" spans="1:13" ht="15.75" customHeight="1">
      <c r="A294" s="133"/>
      <c r="B294" s="133"/>
      <c r="C294" s="18" t="s">
        <v>136</v>
      </c>
      <c r="D294" s="29" t="s">
        <v>137</v>
      </c>
      <c r="E294" s="13">
        <v>114299.1</v>
      </c>
      <c r="F294" s="13">
        <f>198120.2+703953.2</f>
        <v>902073.3999999999</v>
      </c>
      <c r="G294" s="13">
        <f>12876.5+10079.1</f>
        <v>22955.6</v>
      </c>
      <c r="H294" s="13">
        <f>12683.29+6586.35</f>
        <v>19269.64</v>
      </c>
      <c r="I294" s="13">
        <f t="shared" si="18"/>
        <v>-3685.959999999999</v>
      </c>
      <c r="J294" s="13">
        <f t="shared" si="21"/>
        <v>83.94309013922529</v>
      </c>
      <c r="K294" s="13">
        <f t="shared" si="20"/>
        <v>2.1361498964496684</v>
      </c>
      <c r="L294" s="13">
        <f t="shared" si="19"/>
        <v>-95029.46</v>
      </c>
      <c r="M294" s="13">
        <f aca="true" t="shared" si="22" ref="M294:M299">H294/E294*100</f>
        <v>16.858960394263818</v>
      </c>
    </row>
    <row r="295" spans="1:13" ht="15.75">
      <c r="A295" s="133"/>
      <c r="B295" s="133"/>
      <c r="C295" s="18" t="s">
        <v>138</v>
      </c>
      <c r="D295" s="20" t="s">
        <v>139</v>
      </c>
      <c r="E295" s="13">
        <v>2587.6</v>
      </c>
      <c r="F295" s="13">
        <v>162783.8</v>
      </c>
      <c r="G295" s="13">
        <v>2349.1</v>
      </c>
      <c r="H295" s="13">
        <v>10620.37</v>
      </c>
      <c r="I295" s="13">
        <f t="shared" si="18"/>
        <v>8271.27</v>
      </c>
      <c r="J295" s="13">
        <f t="shared" si="21"/>
        <v>452.1037844280789</v>
      </c>
      <c r="K295" s="13">
        <f t="shared" si="20"/>
        <v>6.524218011866047</v>
      </c>
      <c r="L295" s="13">
        <f t="shared" si="19"/>
        <v>8032.77</v>
      </c>
      <c r="M295" s="13">
        <f t="shared" si="22"/>
        <v>410.43321997217504</v>
      </c>
    </row>
    <row r="296" spans="1:13" ht="15.75">
      <c r="A296" s="133"/>
      <c r="B296" s="133"/>
      <c r="C296" s="18" t="s">
        <v>35</v>
      </c>
      <c r="D296" s="20" t="s">
        <v>36</v>
      </c>
      <c r="E296" s="13">
        <f>E297+E298</f>
        <v>3643.1</v>
      </c>
      <c r="F296" s="13">
        <f>F297+F298</f>
        <v>80770.8</v>
      </c>
      <c r="G296" s="13">
        <f>G297+G298</f>
        <v>5311.5</v>
      </c>
      <c r="H296" s="13">
        <f>H297+H298</f>
        <v>3532.81</v>
      </c>
      <c r="I296" s="13">
        <f t="shared" si="18"/>
        <v>-1778.69</v>
      </c>
      <c r="J296" s="13">
        <f t="shared" si="21"/>
        <v>66.51247293608209</v>
      </c>
      <c r="K296" s="13">
        <f t="shared" si="20"/>
        <v>4.373870260044471</v>
      </c>
      <c r="L296" s="13">
        <f t="shared" si="19"/>
        <v>-110.28999999999996</v>
      </c>
      <c r="M296" s="13">
        <f t="shared" si="22"/>
        <v>96.97263319700255</v>
      </c>
    </row>
    <row r="297" spans="1:13" s="28" customFormat="1" ht="31.5" customHeight="1" hidden="1">
      <c r="A297" s="133"/>
      <c r="B297" s="133"/>
      <c r="C297" s="16" t="s">
        <v>140</v>
      </c>
      <c r="D297" s="21" t="s">
        <v>141</v>
      </c>
      <c r="E297" s="13">
        <v>3632.7</v>
      </c>
      <c r="F297" s="13">
        <v>80638.8</v>
      </c>
      <c r="G297" s="13">
        <v>5300.5</v>
      </c>
      <c r="H297" s="13">
        <v>3496.81</v>
      </c>
      <c r="I297" s="13">
        <f t="shared" si="18"/>
        <v>-1803.69</v>
      </c>
      <c r="J297" s="13">
        <f t="shared" si="21"/>
        <v>65.97132346005094</v>
      </c>
      <c r="K297" s="13">
        <f t="shared" si="20"/>
        <v>4.336386454163504</v>
      </c>
      <c r="L297" s="13">
        <f t="shared" si="19"/>
        <v>-135.88999999999987</v>
      </c>
      <c r="M297" s="13">
        <f t="shared" si="22"/>
        <v>96.25925620062213</v>
      </c>
    </row>
    <row r="298" spans="1:13" s="28" customFormat="1" ht="31.5" customHeight="1" hidden="1">
      <c r="A298" s="133"/>
      <c r="B298" s="133"/>
      <c r="C298" s="16" t="s">
        <v>39</v>
      </c>
      <c r="D298" s="21" t="s">
        <v>40</v>
      </c>
      <c r="E298" s="13">
        <v>10.4</v>
      </c>
      <c r="F298" s="13">
        <v>132</v>
      </c>
      <c r="G298" s="13">
        <v>11</v>
      </c>
      <c r="H298" s="13">
        <v>36</v>
      </c>
      <c r="I298" s="13">
        <f t="shared" si="18"/>
        <v>25</v>
      </c>
      <c r="J298" s="13">
        <f t="shared" si="21"/>
        <v>327.2727272727273</v>
      </c>
      <c r="K298" s="13">
        <f t="shared" si="20"/>
        <v>27.27272727272727</v>
      </c>
      <c r="L298" s="13">
        <f t="shared" si="19"/>
        <v>25.6</v>
      </c>
      <c r="M298" s="13">
        <f t="shared" si="22"/>
        <v>346.15384615384613</v>
      </c>
    </row>
    <row r="299" spans="1:13" s="28" customFormat="1" ht="15.75" customHeight="1">
      <c r="A299" s="133"/>
      <c r="B299" s="133"/>
      <c r="C299" s="36"/>
      <c r="D299" s="26" t="s">
        <v>55</v>
      </c>
      <c r="E299" s="27">
        <f>SUM(E294:E296)</f>
        <v>120529.80000000002</v>
      </c>
      <c r="F299" s="27">
        <f>SUM(F294:F296)</f>
        <v>1145628</v>
      </c>
      <c r="G299" s="27">
        <f>SUM(G294:G296)</f>
        <v>30616.199999999997</v>
      </c>
      <c r="H299" s="27">
        <f>SUM(H294:H296)</f>
        <v>33422.82</v>
      </c>
      <c r="I299" s="13">
        <f t="shared" si="18"/>
        <v>2806.6200000000026</v>
      </c>
      <c r="J299" s="13">
        <f t="shared" si="21"/>
        <v>109.16710760969683</v>
      </c>
      <c r="K299" s="27">
        <f t="shared" si="20"/>
        <v>2.917423456828918</v>
      </c>
      <c r="L299" s="13">
        <f t="shared" si="19"/>
        <v>-87106.98000000001</v>
      </c>
      <c r="M299" s="13">
        <f t="shared" si="22"/>
        <v>27.729922392636507</v>
      </c>
    </row>
    <row r="300" spans="1:13" s="28" customFormat="1" ht="31.5" customHeight="1">
      <c r="A300" s="133"/>
      <c r="B300" s="133"/>
      <c r="C300" s="36"/>
      <c r="D300" s="26" t="s">
        <v>56</v>
      </c>
      <c r="E300" s="27">
        <f>E301-E292</f>
        <v>128373.10000000002</v>
      </c>
      <c r="F300" s="27">
        <f>F301-F292</f>
        <v>1287360.1</v>
      </c>
      <c r="G300" s="27">
        <f>G301-G292</f>
        <v>42425.1</v>
      </c>
      <c r="H300" s="27">
        <f>H301-H292</f>
        <v>34934.39</v>
      </c>
      <c r="I300" s="13">
        <f t="shared" si="18"/>
        <v>-7490.709999999999</v>
      </c>
      <c r="J300" s="13">
        <f t="shared" si="21"/>
        <v>82.34368333840109</v>
      </c>
      <c r="K300" s="27">
        <f t="shared" si="20"/>
        <v>2.7136455448634766</v>
      </c>
      <c r="L300" s="13">
        <f t="shared" si="19"/>
        <v>-93438.71000000002</v>
      </c>
      <c r="M300" s="13">
        <f>H300/E300*100</f>
        <v>27.213170048865372</v>
      </c>
    </row>
    <row r="301" spans="1:85" s="33" customFormat="1" ht="15.75">
      <c r="A301" s="129"/>
      <c r="B301" s="129"/>
      <c r="C301" s="41"/>
      <c r="D301" s="26" t="s">
        <v>77</v>
      </c>
      <c r="E301" s="27">
        <f>E293+E299</f>
        <v>127280.50000000001</v>
      </c>
      <c r="F301" s="27">
        <f>F293+F299</f>
        <v>1287360.1</v>
      </c>
      <c r="G301" s="27">
        <f>G293+G299</f>
        <v>42425.1</v>
      </c>
      <c r="H301" s="27">
        <f>H293+H299</f>
        <v>34934.39</v>
      </c>
      <c r="I301" s="27">
        <f t="shared" si="18"/>
        <v>-7490.709999999999</v>
      </c>
      <c r="J301" s="27">
        <f t="shared" si="21"/>
        <v>82.34368333840109</v>
      </c>
      <c r="K301" s="27">
        <f t="shared" si="20"/>
        <v>2.7136455448634766</v>
      </c>
      <c r="L301" s="27">
        <f t="shared" si="19"/>
        <v>-92346.11000000002</v>
      </c>
      <c r="M301" s="27">
        <f>H301/E301*100</f>
        <v>27.446773072073093</v>
      </c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</row>
    <row r="302" spans="1:13" s="28" customFormat="1" ht="15.75" customHeight="1" hidden="1">
      <c r="A302" s="128" t="s">
        <v>142</v>
      </c>
      <c r="B302" s="130" t="s">
        <v>143</v>
      </c>
      <c r="C302" s="18" t="s">
        <v>27</v>
      </c>
      <c r="D302" s="22" t="s">
        <v>28</v>
      </c>
      <c r="E302" s="13"/>
      <c r="F302" s="27"/>
      <c r="G302" s="27"/>
      <c r="H302" s="13"/>
      <c r="I302" s="13">
        <f t="shared" si="18"/>
        <v>0</v>
      </c>
      <c r="J302" s="13"/>
      <c r="K302" s="13"/>
      <c r="L302" s="13">
        <f t="shared" si="19"/>
        <v>0</v>
      </c>
      <c r="M302" s="13"/>
    </row>
    <row r="303" spans="1:13" s="28" customFormat="1" ht="15.75" customHeight="1" hidden="1">
      <c r="A303" s="132"/>
      <c r="B303" s="134"/>
      <c r="C303" s="18" t="s">
        <v>41</v>
      </c>
      <c r="D303" s="20" t="s">
        <v>42</v>
      </c>
      <c r="E303" s="13"/>
      <c r="F303" s="27"/>
      <c r="G303" s="27"/>
      <c r="H303" s="13"/>
      <c r="I303" s="13">
        <f t="shared" si="18"/>
        <v>0</v>
      </c>
      <c r="J303" s="13"/>
      <c r="K303" s="13"/>
      <c r="L303" s="13">
        <f t="shared" si="19"/>
        <v>0</v>
      </c>
      <c r="M303" s="13"/>
    </row>
    <row r="304" spans="1:13" s="28" customFormat="1" ht="15.75" customHeight="1" hidden="1">
      <c r="A304" s="132"/>
      <c r="B304" s="134"/>
      <c r="C304" s="18" t="s">
        <v>45</v>
      </c>
      <c r="D304" s="20" t="s">
        <v>46</v>
      </c>
      <c r="E304" s="13"/>
      <c r="F304" s="13"/>
      <c r="G304" s="13"/>
      <c r="H304" s="13"/>
      <c r="I304" s="13">
        <f t="shared" si="18"/>
        <v>0</v>
      </c>
      <c r="J304" s="13"/>
      <c r="K304" s="13"/>
      <c r="L304" s="13">
        <f t="shared" si="19"/>
        <v>0</v>
      </c>
      <c r="M304" s="13"/>
    </row>
    <row r="305" spans="1:13" s="28" customFormat="1" ht="15.75" customHeight="1" hidden="1">
      <c r="A305" s="132"/>
      <c r="B305" s="134"/>
      <c r="C305" s="18" t="s">
        <v>69</v>
      </c>
      <c r="D305" s="21" t="s">
        <v>70</v>
      </c>
      <c r="E305" s="13"/>
      <c r="F305" s="13"/>
      <c r="G305" s="13"/>
      <c r="H305" s="13"/>
      <c r="I305" s="13">
        <f t="shared" si="18"/>
        <v>0</v>
      </c>
      <c r="J305" s="13"/>
      <c r="K305" s="13"/>
      <c r="L305" s="13">
        <f t="shared" si="19"/>
        <v>0</v>
      </c>
      <c r="M305" s="13"/>
    </row>
    <row r="306" spans="1:13" s="28" customFormat="1" ht="15.75" customHeight="1" hidden="1">
      <c r="A306" s="132"/>
      <c r="B306" s="134"/>
      <c r="C306" s="18" t="s">
        <v>45</v>
      </c>
      <c r="D306" s="20" t="s">
        <v>46</v>
      </c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s="28" customFormat="1" ht="15.75" customHeight="1" hidden="1">
      <c r="A307" s="133"/>
      <c r="B307" s="133"/>
      <c r="C307" s="36"/>
      <c r="D307" s="26" t="s">
        <v>52</v>
      </c>
      <c r="E307" s="27">
        <f>E302+E304+E305+E306</f>
        <v>0</v>
      </c>
      <c r="F307" s="27">
        <f>F302+F304+F305+F306</f>
        <v>0</v>
      </c>
      <c r="G307" s="27">
        <f>G302+G304+G305+G306</f>
        <v>0</v>
      </c>
      <c r="H307" s="27">
        <f>H302+H304+H305+H306</f>
        <v>0</v>
      </c>
      <c r="I307" s="13">
        <f t="shared" si="18"/>
        <v>0</v>
      </c>
      <c r="J307" s="13"/>
      <c r="K307" s="27"/>
      <c r="L307" s="13">
        <f t="shared" si="19"/>
        <v>0</v>
      </c>
      <c r="M307" s="13"/>
    </row>
    <row r="308" spans="1:13" ht="15.75" customHeight="1">
      <c r="A308" s="133"/>
      <c r="B308" s="133"/>
      <c r="C308" s="18" t="s">
        <v>144</v>
      </c>
      <c r="D308" s="20" t="s">
        <v>145</v>
      </c>
      <c r="E308" s="13">
        <v>339147.9</v>
      </c>
      <c r="F308" s="49">
        <f>153835.9+458.3+6490621.1+117011.9+6050.2+14629.9+268.8</f>
        <v>6782876.100000001</v>
      </c>
      <c r="G308" s="13">
        <f>6962.4+107.8+369189+9204.2+138.8+561.9+74.4</f>
        <v>386238.50000000006</v>
      </c>
      <c r="H308" s="13">
        <f>10813.86+8.84+406885.52+8950.82+606.69+1494.87+0.37+46.22</f>
        <v>428807.19</v>
      </c>
      <c r="I308" s="13">
        <f t="shared" si="18"/>
        <v>42568.689999999944</v>
      </c>
      <c r="J308" s="13">
        <f>H308/G308*100</f>
        <v>111.0213482084256</v>
      </c>
      <c r="K308" s="13">
        <f t="shared" si="20"/>
        <v>6.321908047236775</v>
      </c>
      <c r="L308" s="13">
        <f t="shared" si="19"/>
        <v>89659.28999999998</v>
      </c>
      <c r="M308" s="13">
        <f>H308/E308*100</f>
        <v>126.43663428256522</v>
      </c>
    </row>
    <row r="309" spans="1:13" ht="15.75">
      <c r="A309" s="133"/>
      <c r="B309" s="133"/>
      <c r="C309" s="18" t="s">
        <v>146</v>
      </c>
      <c r="D309" s="20" t="s">
        <v>147</v>
      </c>
      <c r="E309" s="13">
        <v>81649.7</v>
      </c>
      <c r="F309" s="13">
        <v>483544</v>
      </c>
      <c r="G309" s="13">
        <v>91148</v>
      </c>
      <c r="H309" s="13">
        <f>2324.68+58497.06</f>
        <v>60821.74</v>
      </c>
      <c r="I309" s="13">
        <f t="shared" si="18"/>
        <v>-30326.260000000002</v>
      </c>
      <c r="J309" s="13">
        <f>H309/G309*100</f>
        <v>66.7285513670075</v>
      </c>
      <c r="K309" s="13">
        <f t="shared" si="20"/>
        <v>12.57832586072829</v>
      </c>
      <c r="L309" s="13">
        <f t="shared" si="19"/>
        <v>-20827.96</v>
      </c>
      <c r="M309" s="13">
        <f>H309/E309*100</f>
        <v>74.49107590107495</v>
      </c>
    </row>
    <row r="310" spans="1:13" ht="31.5" customHeight="1" hidden="1">
      <c r="A310" s="133"/>
      <c r="B310" s="133"/>
      <c r="C310" s="18" t="s">
        <v>27</v>
      </c>
      <c r="D310" s="22" t="s">
        <v>28</v>
      </c>
      <c r="E310" s="13"/>
      <c r="F310" s="13"/>
      <c r="G310" s="13"/>
      <c r="H310" s="13"/>
      <c r="I310" s="13">
        <f t="shared" si="18"/>
        <v>0</v>
      </c>
      <c r="J310" s="13"/>
      <c r="K310" s="13"/>
      <c r="L310" s="13">
        <f t="shared" si="19"/>
        <v>0</v>
      </c>
      <c r="M310" s="13"/>
    </row>
    <row r="311" spans="1:13" ht="15.75" customHeight="1">
      <c r="A311" s="133"/>
      <c r="B311" s="133"/>
      <c r="C311" s="18" t="s">
        <v>35</v>
      </c>
      <c r="D311" s="20" t="s">
        <v>36</v>
      </c>
      <c r="E311" s="13">
        <f>E312+E313+E314</f>
        <v>174.5</v>
      </c>
      <c r="F311" s="13">
        <f>F312+F313+F314</f>
        <v>4346</v>
      </c>
      <c r="G311" s="13">
        <f>G312+G313+G314</f>
        <v>199.89999999999998</v>
      </c>
      <c r="H311" s="13">
        <f>H312+H313+H314</f>
        <v>259.75</v>
      </c>
      <c r="I311" s="13">
        <f t="shared" si="18"/>
        <v>59.85000000000002</v>
      </c>
      <c r="J311" s="13">
        <f>H311/G311*100</f>
        <v>129.9399699849925</v>
      </c>
      <c r="K311" s="13">
        <f t="shared" si="20"/>
        <v>5.976760239300506</v>
      </c>
      <c r="L311" s="13">
        <f t="shared" si="19"/>
        <v>85.25</v>
      </c>
      <c r="M311" s="13">
        <f>H311/E311*100</f>
        <v>148.85386819484242</v>
      </c>
    </row>
    <row r="312" spans="1:13" ht="78.75" customHeight="1" hidden="1">
      <c r="A312" s="133"/>
      <c r="B312" s="133"/>
      <c r="C312" s="16" t="s">
        <v>148</v>
      </c>
      <c r="D312" s="21" t="s">
        <v>149</v>
      </c>
      <c r="E312" s="13">
        <v>81.2</v>
      </c>
      <c r="F312" s="13">
        <v>2000</v>
      </c>
      <c r="G312" s="13">
        <v>75.7</v>
      </c>
      <c r="H312" s="13">
        <v>149.77</v>
      </c>
      <c r="I312" s="13">
        <f t="shared" si="18"/>
        <v>74.07000000000001</v>
      </c>
      <c r="J312" s="13">
        <f>H312/G312*100</f>
        <v>197.84676354029062</v>
      </c>
      <c r="K312" s="13">
        <f t="shared" si="20"/>
        <v>7.488500000000001</v>
      </c>
      <c r="L312" s="13">
        <f t="shared" si="19"/>
        <v>68.57000000000001</v>
      </c>
      <c r="M312" s="13">
        <f>H312/E312*100</f>
        <v>184.44581280788177</v>
      </c>
    </row>
    <row r="313" spans="1:13" ht="63" customHeight="1" hidden="1">
      <c r="A313" s="133"/>
      <c r="B313" s="133"/>
      <c r="C313" s="16" t="s">
        <v>150</v>
      </c>
      <c r="D313" s="21" t="s">
        <v>151</v>
      </c>
      <c r="E313" s="13">
        <v>32.8</v>
      </c>
      <c r="F313" s="13">
        <v>1000</v>
      </c>
      <c r="G313" s="13">
        <v>61</v>
      </c>
      <c r="H313" s="13">
        <v>32.88</v>
      </c>
      <c r="I313" s="13">
        <f t="shared" si="18"/>
        <v>-28.119999999999997</v>
      </c>
      <c r="J313" s="13">
        <f>H313/G313*100</f>
        <v>53.9016393442623</v>
      </c>
      <c r="K313" s="13">
        <f t="shared" si="20"/>
        <v>3.288</v>
      </c>
      <c r="L313" s="13">
        <f t="shared" si="19"/>
        <v>0.0800000000000054</v>
      </c>
      <c r="M313" s="13">
        <f>H313/E313*100</f>
        <v>100.24390243902441</v>
      </c>
    </row>
    <row r="314" spans="1:13" ht="47.25" customHeight="1" hidden="1">
      <c r="A314" s="133"/>
      <c r="B314" s="133"/>
      <c r="C314" s="16" t="s">
        <v>39</v>
      </c>
      <c r="D314" s="21" t="s">
        <v>40</v>
      </c>
      <c r="E314" s="13">
        <v>60.5</v>
      </c>
      <c r="F314" s="13">
        <v>1346</v>
      </c>
      <c r="G314" s="13">
        <v>63.2</v>
      </c>
      <c r="H314" s="13">
        <v>77.1</v>
      </c>
      <c r="I314" s="13">
        <f t="shared" si="18"/>
        <v>13.899999999999991</v>
      </c>
      <c r="J314" s="13">
        <f>H314/G314*100</f>
        <v>121.99367088607593</v>
      </c>
      <c r="K314" s="13">
        <f t="shared" si="20"/>
        <v>5.728083209509658</v>
      </c>
      <c r="L314" s="13">
        <f t="shared" si="19"/>
        <v>16.599999999999994</v>
      </c>
      <c r="M314" s="13">
        <f>H314/E314*100</f>
        <v>127.43801652892562</v>
      </c>
    </row>
    <row r="315" spans="1:13" ht="15.75" hidden="1">
      <c r="A315" s="133"/>
      <c r="B315" s="133"/>
      <c r="C315" s="18" t="s">
        <v>45</v>
      </c>
      <c r="D315" s="20" t="s">
        <v>46</v>
      </c>
      <c r="E315" s="50"/>
      <c r="F315" s="13"/>
      <c r="G315" s="13"/>
      <c r="H315" s="13"/>
      <c r="I315" s="13">
        <f t="shared" si="18"/>
        <v>0</v>
      </c>
      <c r="J315" s="13"/>
      <c r="K315" s="13"/>
      <c r="L315" s="13">
        <f t="shared" si="19"/>
        <v>0</v>
      </c>
      <c r="M315" s="13"/>
    </row>
    <row r="316" spans="1:13" ht="15.75">
      <c r="A316" s="133"/>
      <c r="B316" s="133"/>
      <c r="C316" s="18" t="s">
        <v>51</v>
      </c>
      <c r="D316" s="20" t="s">
        <v>46</v>
      </c>
      <c r="E316" s="13">
        <v>-674.2</v>
      </c>
      <c r="F316" s="13"/>
      <c r="G316" s="13"/>
      <c r="H316" s="13"/>
      <c r="I316" s="13"/>
      <c r="J316" s="13"/>
      <c r="K316" s="13"/>
      <c r="L316" s="13">
        <f t="shared" si="19"/>
        <v>674.2</v>
      </c>
      <c r="M316" s="13">
        <f>H316/E316*100</f>
        <v>0</v>
      </c>
    </row>
    <row r="317" spans="1:13" s="28" customFormat="1" ht="15.75">
      <c r="A317" s="133"/>
      <c r="B317" s="133"/>
      <c r="C317" s="51"/>
      <c r="D317" s="26" t="s">
        <v>55</v>
      </c>
      <c r="E317" s="27">
        <f>E308+E309+E310+E311+E316</f>
        <v>420297.9</v>
      </c>
      <c r="F317" s="27">
        <f>F308+F309+F310+F311+F316</f>
        <v>7270766.100000001</v>
      </c>
      <c r="G317" s="27">
        <f>G308+G309+G310+G311+G316</f>
        <v>477586.4000000001</v>
      </c>
      <c r="H317" s="27">
        <f>H308+H309+H310+H311+H316</f>
        <v>489888.68</v>
      </c>
      <c r="I317" s="13">
        <f t="shared" si="18"/>
        <v>12302.279999999912</v>
      </c>
      <c r="J317" s="13">
        <f>H317/G317*100</f>
        <v>102.57592762272961</v>
      </c>
      <c r="K317" s="27">
        <f t="shared" si="20"/>
        <v>6.737786269867765</v>
      </c>
      <c r="L317" s="13">
        <f t="shared" si="19"/>
        <v>69590.77999999997</v>
      </c>
      <c r="M317" s="13">
        <f>H317/E317*100</f>
        <v>116.55748934267814</v>
      </c>
    </row>
    <row r="318" spans="1:13" s="28" customFormat="1" ht="47.25">
      <c r="A318" s="133"/>
      <c r="B318" s="133"/>
      <c r="C318" s="51"/>
      <c r="D318" s="26" t="s">
        <v>56</v>
      </c>
      <c r="E318" s="27">
        <f>E307+E317-E316</f>
        <v>420972.10000000003</v>
      </c>
      <c r="F318" s="27">
        <f>F307+F317-F316</f>
        <v>7270766.100000001</v>
      </c>
      <c r="G318" s="27">
        <f>G307+G317-G316</f>
        <v>477586.4000000001</v>
      </c>
      <c r="H318" s="27">
        <f>H307+H317-H316</f>
        <v>489888.68</v>
      </c>
      <c r="I318" s="13">
        <f t="shared" si="18"/>
        <v>12302.279999999912</v>
      </c>
      <c r="J318" s="13">
        <f>H318/G318*100</f>
        <v>102.57592762272961</v>
      </c>
      <c r="K318" s="27">
        <f t="shared" si="20"/>
        <v>6.737786269867765</v>
      </c>
      <c r="L318" s="13">
        <f t="shared" si="19"/>
        <v>68916.57999999996</v>
      </c>
      <c r="M318" s="13">
        <f>H318/E318*100</f>
        <v>116.37081887374482</v>
      </c>
    </row>
    <row r="319" spans="1:85" s="33" customFormat="1" ht="15.75">
      <c r="A319" s="129"/>
      <c r="B319" s="129"/>
      <c r="C319" s="41"/>
      <c r="D319" s="26" t="s">
        <v>77</v>
      </c>
      <c r="E319" s="27">
        <f>E307+E317</f>
        <v>420297.9</v>
      </c>
      <c r="F319" s="27">
        <f>F307+F317</f>
        <v>7270766.100000001</v>
      </c>
      <c r="G319" s="27">
        <f>G307+G317</f>
        <v>477586.4000000001</v>
      </c>
      <c r="H319" s="27">
        <f>H307+H317</f>
        <v>489888.68</v>
      </c>
      <c r="I319" s="27">
        <f t="shared" si="18"/>
        <v>12302.279999999912</v>
      </c>
      <c r="J319" s="27">
        <f>H319/G319*100</f>
        <v>102.57592762272961</v>
      </c>
      <c r="K319" s="27">
        <f t="shared" si="20"/>
        <v>6.737786269867765</v>
      </c>
      <c r="L319" s="27">
        <f t="shared" si="19"/>
        <v>69590.77999999997</v>
      </c>
      <c r="M319" s="27">
        <f>H319/E319*100</f>
        <v>116.55748934267814</v>
      </c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</row>
    <row r="320" spans="1:13" s="28" customFormat="1" ht="40.5" customHeight="1">
      <c r="A320" s="130">
        <v>955</v>
      </c>
      <c r="B320" s="130" t="s">
        <v>152</v>
      </c>
      <c r="C320" s="18" t="s">
        <v>27</v>
      </c>
      <c r="D320" s="22" t="s">
        <v>28</v>
      </c>
      <c r="E320" s="13">
        <v>9.7</v>
      </c>
      <c r="F320" s="27"/>
      <c r="G320" s="27"/>
      <c r="H320" s="13">
        <v>158.49</v>
      </c>
      <c r="I320" s="13">
        <f t="shared" si="18"/>
        <v>158.49</v>
      </c>
      <c r="J320" s="13"/>
      <c r="K320" s="13"/>
      <c r="L320" s="13">
        <f t="shared" si="19"/>
        <v>148.79000000000002</v>
      </c>
      <c r="M320" s="13">
        <f>H320/E320*100</f>
        <v>1633.9175257731958</v>
      </c>
    </row>
    <row r="321" spans="1:13" s="28" customFormat="1" ht="15.75" hidden="1">
      <c r="A321" s="133"/>
      <c r="B321" s="133"/>
      <c r="C321" s="18" t="s">
        <v>41</v>
      </c>
      <c r="D321" s="20" t="s">
        <v>42</v>
      </c>
      <c r="E321" s="13"/>
      <c r="F321" s="27"/>
      <c r="G321" s="27"/>
      <c r="H321" s="13"/>
      <c r="I321" s="13">
        <f t="shared" si="18"/>
        <v>0</v>
      </c>
      <c r="J321" s="13"/>
      <c r="K321" s="13"/>
      <c r="L321" s="13">
        <f t="shared" si="19"/>
        <v>0</v>
      </c>
      <c r="M321" s="13" t="e">
        <f aca="true" t="shared" si="23" ref="M321:M327">H321/E321*100</f>
        <v>#DIV/0!</v>
      </c>
    </row>
    <row r="322" spans="1:13" ht="15.75" customHeight="1" hidden="1">
      <c r="A322" s="133"/>
      <c r="B322" s="133"/>
      <c r="C322" s="18" t="s">
        <v>45</v>
      </c>
      <c r="D322" s="20" t="s">
        <v>46</v>
      </c>
      <c r="F322" s="39"/>
      <c r="G322" s="39"/>
      <c r="H322" s="39"/>
      <c r="I322" s="13">
        <f t="shared" si="18"/>
        <v>0</v>
      </c>
      <c r="J322" s="13"/>
      <c r="K322" s="13"/>
      <c r="L322" s="13">
        <f t="shared" si="19"/>
        <v>0</v>
      </c>
      <c r="M322" s="13"/>
    </row>
    <row r="323" spans="1:13" ht="15.75" customHeight="1" hidden="1">
      <c r="A323" s="133"/>
      <c r="B323" s="133"/>
      <c r="C323" s="18" t="s">
        <v>47</v>
      </c>
      <c r="D323" s="20" t="s">
        <v>132</v>
      </c>
      <c r="E323" s="39"/>
      <c r="F323" s="39"/>
      <c r="G323" s="39"/>
      <c r="H323" s="39"/>
      <c r="I323" s="13">
        <f t="shared" si="18"/>
        <v>0</v>
      </c>
      <c r="J323" s="13"/>
      <c r="K323" s="13"/>
      <c r="L323" s="13">
        <f t="shared" si="19"/>
        <v>0</v>
      </c>
      <c r="M323" s="13"/>
    </row>
    <row r="324" spans="1:13" ht="31.5">
      <c r="A324" s="133"/>
      <c r="B324" s="133"/>
      <c r="C324" s="18" t="s">
        <v>49</v>
      </c>
      <c r="D324" s="20" t="s">
        <v>101</v>
      </c>
      <c r="E324" s="39"/>
      <c r="F324" s="39">
        <v>56107.6</v>
      </c>
      <c r="G324" s="39"/>
      <c r="H324" s="39"/>
      <c r="I324" s="13">
        <f t="shared" si="18"/>
        <v>0</v>
      </c>
      <c r="J324" s="13"/>
      <c r="K324" s="13"/>
      <c r="L324" s="13">
        <f t="shared" si="19"/>
        <v>0</v>
      </c>
      <c r="M324" s="13"/>
    </row>
    <row r="325" spans="1:13" ht="15.75" hidden="1">
      <c r="A325" s="133"/>
      <c r="B325" s="133"/>
      <c r="C325" s="18" t="s">
        <v>69</v>
      </c>
      <c r="D325" s="21" t="s">
        <v>70</v>
      </c>
      <c r="E325" s="39"/>
      <c r="F325" s="39"/>
      <c r="G325" s="39"/>
      <c r="H325" s="39"/>
      <c r="I325" s="13">
        <f t="shared" si="18"/>
        <v>0</v>
      </c>
      <c r="J325" s="13"/>
      <c r="K325" s="13"/>
      <c r="L325" s="13">
        <f t="shared" si="19"/>
        <v>0</v>
      </c>
      <c r="M325" s="13"/>
    </row>
    <row r="326" spans="1:13" ht="15.75">
      <c r="A326" s="133"/>
      <c r="B326" s="133"/>
      <c r="C326" s="18" t="s">
        <v>51</v>
      </c>
      <c r="D326" s="20" t="s">
        <v>46</v>
      </c>
      <c r="E326" s="39">
        <v>-3188.5</v>
      </c>
      <c r="F326" s="39"/>
      <c r="G326" s="39"/>
      <c r="H326" s="39">
        <v>-3915.72</v>
      </c>
      <c r="I326" s="13">
        <f t="shared" si="18"/>
        <v>-3915.72</v>
      </c>
      <c r="J326" s="13"/>
      <c r="K326" s="13"/>
      <c r="L326" s="13">
        <f t="shared" si="19"/>
        <v>-727.2199999999998</v>
      </c>
      <c r="M326" s="13">
        <f t="shared" si="23"/>
        <v>122.80758977575661</v>
      </c>
    </row>
    <row r="327" spans="1:13" s="28" customFormat="1" ht="31.5" customHeight="1">
      <c r="A327" s="133"/>
      <c r="B327" s="133"/>
      <c r="C327" s="36"/>
      <c r="D327" s="26" t="s">
        <v>56</v>
      </c>
      <c r="E327" s="40">
        <f>E328-E326</f>
        <v>9.699999999999818</v>
      </c>
      <c r="F327" s="40">
        <f>F328-F326</f>
        <v>56107.6</v>
      </c>
      <c r="G327" s="40">
        <f>G328-G326</f>
        <v>0</v>
      </c>
      <c r="H327" s="40">
        <f>H328-H326</f>
        <v>158.49000000000024</v>
      </c>
      <c r="I327" s="13">
        <f t="shared" si="18"/>
        <v>158.49000000000024</v>
      </c>
      <c r="J327" s="13"/>
      <c r="K327" s="27">
        <f t="shared" si="20"/>
        <v>0.2824751014122868</v>
      </c>
      <c r="L327" s="13">
        <f t="shared" si="19"/>
        <v>148.79000000000042</v>
      </c>
      <c r="M327" s="13">
        <f t="shared" si="23"/>
        <v>1633.917525773229</v>
      </c>
    </row>
    <row r="328" spans="1:85" s="33" customFormat="1" ht="15.75">
      <c r="A328" s="129"/>
      <c r="B328" s="129"/>
      <c r="C328" s="30"/>
      <c r="D328" s="26" t="s">
        <v>77</v>
      </c>
      <c r="E328" s="40">
        <f>SUM(E320:E326)</f>
        <v>-3178.8</v>
      </c>
      <c r="F328" s="40">
        <f>SUM(F320:F326)</f>
        <v>56107.6</v>
      </c>
      <c r="G328" s="40">
        <f>SUM(G320:G326)</f>
        <v>0</v>
      </c>
      <c r="H328" s="40">
        <f>SUM(H320:H326)</f>
        <v>-3757.2299999999996</v>
      </c>
      <c r="I328" s="27">
        <f t="shared" si="18"/>
        <v>-3757.2299999999996</v>
      </c>
      <c r="J328" s="27"/>
      <c r="K328" s="27">
        <f t="shared" si="20"/>
        <v>-6.696472492140101</v>
      </c>
      <c r="L328" s="27">
        <f t="shared" si="19"/>
        <v>-578.4299999999994</v>
      </c>
      <c r="M328" s="27">
        <f>H328/E328*100</f>
        <v>118.19648924122308</v>
      </c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</row>
    <row r="329" spans="1:13" s="28" customFormat="1" ht="31.5" customHeight="1">
      <c r="A329" s="128" t="s">
        <v>153</v>
      </c>
      <c r="B329" s="130" t="s">
        <v>154</v>
      </c>
      <c r="C329" s="18" t="s">
        <v>27</v>
      </c>
      <c r="D329" s="22" t="s">
        <v>28</v>
      </c>
      <c r="E329" s="39">
        <v>60</v>
      </c>
      <c r="F329" s="40"/>
      <c r="G329" s="40"/>
      <c r="H329" s="39"/>
      <c r="I329" s="13">
        <f t="shared" si="18"/>
        <v>0</v>
      </c>
      <c r="J329" s="13"/>
      <c r="K329" s="13"/>
      <c r="L329" s="13">
        <f t="shared" si="19"/>
        <v>-60</v>
      </c>
      <c r="M329" s="13"/>
    </row>
    <row r="330" spans="1:13" s="28" customFormat="1" ht="94.5" hidden="1">
      <c r="A330" s="132"/>
      <c r="B330" s="134"/>
      <c r="C330" s="16" t="s">
        <v>29</v>
      </c>
      <c r="D330" s="23" t="s">
        <v>30</v>
      </c>
      <c r="E330" s="39"/>
      <c r="F330" s="40"/>
      <c r="G330" s="40"/>
      <c r="H330" s="39"/>
      <c r="I330" s="13">
        <f t="shared" si="18"/>
        <v>0</v>
      </c>
      <c r="J330" s="13"/>
      <c r="K330" s="13"/>
      <c r="L330" s="13">
        <f t="shared" si="19"/>
        <v>0</v>
      </c>
      <c r="M330" s="13"/>
    </row>
    <row r="331" spans="1:13" ht="15.75" customHeight="1" hidden="1">
      <c r="A331" s="132"/>
      <c r="B331" s="134"/>
      <c r="C331" s="18" t="s">
        <v>35</v>
      </c>
      <c r="D331" s="20" t="s">
        <v>36</v>
      </c>
      <c r="E331" s="13">
        <f>E332</f>
        <v>0</v>
      </c>
      <c r="F331" s="13">
        <f>F332</f>
        <v>0</v>
      </c>
      <c r="G331" s="13">
        <f>G332</f>
        <v>0</v>
      </c>
      <c r="H331" s="13">
        <f>H332</f>
        <v>0</v>
      </c>
      <c r="I331" s="13">
        <f t="shared" si="18"/>
        <v>0</v>
      </c>
      <c r="J331" s="13"/>
      <c r="K331" s="13"/>
      <c r="L331" s="13">
        <f t="shared" si="19"/>
        <v>0</v>
      </c>
      <c r="M331" s="13"/>
    </row>
    <row r="332" spans="1:13" ht="46.5" customHeight="1" hidden="1">
      <c r="A332" s="132"/>
      <c r="B332" s="134"/>
      <c r="C332" s="16" t="s">
        <v>39</v>
      </c>
      <c r="D332" s="21" t="s">
        <v>40</v>
      </c>
      <c r="E332" s="13"/>
      <c r="F332" s="13"/>
      <c r="G332" s="13"/>
      <c r="H332" s="13"/>
      <c r="I332" s="13">
        <f t="shared" si="18"/>
        <v>0</v>
      </c>
      <c r="J332" s="13"/>
      <c r="K332" s="13"/>
      <c r="L332" s="13">
        <f t="shared" si="19"/>
        <v>0</v>
      </c>
      <c r="M332" s="13"/>
    </row>
    <row r="333" spans="1:13" ht="15.75" customHeight="1" hidden="1">
      <c r="A333" s="132"/>
      <c r="B333" s="134"/>
      <c r="C333" s="18" t="s">
        <v>41</v>
      </c>
      <c r="D333" s="20" t="s">
        <v>42</v>
      </c>
      <c r="E333" s="13"/>
      <c r="F333" s="13"/>
      <c r="G333" s="13"/>
      <c r="H333" s="13"/>
      <c r="I333" s="13">
        <f aca="true" t="shared" si="24" ref="I333:I397">H333-G333</f>
        <v>0</v>
      </c>
      <c r="J333" s="13"/>
      <c r="K333" s="13"/>
      <c r="L333" s="13">
        <f t="shared" si="19"/>
        <v>0</v>
      </c>
      <c r="M333" s="13"/>
    </row>
    <row r="334" spans="1:13" ht="15.75" customHeight="1" hidden="1">
      <c r="A334" s="132"/>
      <c r="B334" s="134"/>
      <c r="C334" s="18" t="s">
        <v>43</v>
      </c>
      <c r="D334" s="20" t="s">
        <v>44</v>
      </c>
      <c r="E334" s="13"/>
      <c r="F334" s="13"/>
      <c r="G334" s="13"/>
      <c r="H334" s="13"/>
      <c r="I334" s="13">
        <f t="shared" si="24"/>
        <v>0</v>
      </c>
      <c r="J334" s="13"/>
      <c r="K334" s="13"/>
      <c r="L334" s="13">
        <f t="shared" si="19"/>
        <v>0</v>
      </c>
      <c r="M334" s="13"/>
    </row>
    <row r="335" spans="1:13" ht="15.75" customHeight="1" hidden="1">
      <c r="A335" s="132"/>
      <c r="B335" s="134"/>
      <c r="C335" s="18" t="s">
        <v>45</v>
      </c>
      <c r="D335" s="20" t="s">
        <v>46</v>
      </c>
      <c r="F335" s="13"/>
      <c r="G335" s="13"/>
      <c r="H335" s="13"/>
      <c r="I335" s="13">
        <f t="shared" si="24"/>
        <v>0</v>
      </c>
      <c r="J335" s="13"/>
      <c r="K335" s="13"/>
      <c r="L335" s="13">
        <f t="shared" si="19"/>
        <v>0</v>
      </c>
      <c r="M335" s="13"/>
    </row>
    <row r="336" spans="1:13" ht="15.75" customHeight="1">
      <c r="A336" s="132"/>
      <c r="B336" s="134"/>
      <c r="C336" s="18" t="s">
        <v>49</v>
      </c>
      <c r="D336" s="20" t="s">
        <v>101</v>
      </c>
      <c r="E336" s="13">
        <v>72.3</v>
      </c>
      <c r="F336" s="13">
        <f>1488.2+115</f>
        <v>1603.2</v>
      </c>
      <c r="G336" s="13"/>
      <c r="H336" s="13"/>
      <c r="I336" s="13">
        <f t="shared" si="24"/>
        <v>0</v>
      </c>
      <c r="J336" s="13"/>
      <c r="K336" s="13">
        <f t="shared" si="20"/>
        <v>0</v>
      </c>
      <c r="L336" s="13">
        <f aca="true" t="shared" si="25" ref="L336:L400">H336-E336</f>
        <v>-72.3</v>
      </c>
      <c r="M336" s="13"/>
    </row>
    <row r="337" spans="1:13" ht="15.75">
      <c r="A337" s="132"/>
      <c r="B337" s="134"/>
      <c r="C337" s="18" t="s">
        <v>69</v>
      </c>
      <c r="D337" s="21" t="s">
        <v>70</v>
      </c>
      <c r="E337" s="13">
        <v>11981.9</v>
      </c>
      <c r="F337" s="13">
        <f>137524.3+47927.6</f>
        <v>185451.9</v>
      </c>
      <c r="G337" s="13"/>
      <c r="H337" s="13">
        <v>11981.9</v>
      </c>
      <c r="I337" s="13">
        <f t="shared" si="24"/>
        <v>11981.9</v>
      </c>
      <c r="J337" s="13"/>
      <c r="K337" s="13">
        <f t="shared" si="20"/>
        <v>6.460920594504558</v>
      </c>
      <c r="L337" s="13">
        <f t="shared" si="25"/>
        <v>0</v>
      </c>
      <c r="M337" s="13">
        <f aca="true" t="shared" si="26" ref="M337:M343">H337/E337*100</f>
        <v>100</v>
      </c>
    </row>
    <row r="338" spans="1:13" ht="15.75">
      <c r="A338" s="132"/>
      <c r="B338" s="134"/>
      <c r="C338" s="18" t="s">
        <v>51</v>
      </c>
      <c r="D338" s="20" t="s">
        <v>46</v>
      </c>
      <c r="E338" s="13">
        <v>-156.5</v>
      </c>
      <c r="F338" s="13"/>
      <c r="G338" s="13"/>
      <c r="H338" s="13"/>
      <c r="I338" s="13"/>
      <c r="J338" s="13"/>
      <c r="K338" s="13"/>
      <c r="L338" s="13">
        <f t="shared" si="25"/>
        <v>156.5</v>
      </c>
      <c r="M338" s="13"/>
    </row>
    <row r="339" spans="1:13" s="28" customFormat="1" ht="15.75">
      <c r="A339" s="132"/>
      <c r="B339" s="134"/>
      <c r="C339" s="10"/>
      <c r="D339" s="26" t="s">
        <v>52</v>
      </c>
      <c r="E339" s="40">
        <f>SUM(E329:E331,E333:E338)</f>
        <v>11957.699999999999</v>
      </c>
      <c r="F339" s="40">
        <f>SUM(F329:F331,F333:F338)</f>
        <v>187055.1</v>
      </c>
      <c r="G339" s="40">
        <f>SUM(G329:G331,G333:G338)</f>
        <v>0</v>
      </c>
      <c r="H339" s="40">
        <f>SUM(H329:H331,H333:H338)</f>
        <v>11981.9</v>
      </c>
      <c r="I339" s="13">
        <f t="shared" si="24"/>
        <v>11981.9</v>
      </c>
      <c r="J339" s="13"/>
      <c r="K339" s="27">
        <f t="shared" si="20"/>
        <v>6.405545745611854</v>
      </c>
      <c r="L339" s="13">
        <f t="shared" si="25"/>
        <v>24.200000000000728</v>
      </c>
      <c r="M339" s="13">
        <f t="shared" si="26"/>
        <v>100.20238005636537</v>
      </c>
    </row>
    <row r="340" spans="1:13" ht="15.75" customHeight="1">
      <c r="A340" s="132"/>
      <c r="B340" s="134"/>
      <c r="C340" s="18" t="s">
        <v>155</v>
      </c>
      <c r="D340" s="20" t="s">
        <v>156</v>
      </c>
      <c r="E340" s="13">
        <v>4368.7</v>
      </c>
      <c r="F340" s="13">
        <v>178134.7</v>
      </c>
      <c r="G340" s="13">
        <v>6608.9</v>
      </c>
      <c r="H340" s="13">
        <f>0.5+5545.29</f>
        <v>5545.79</v>
      </c>
      <c r="I340" s="13">
        <f t="shared" si="24"/>
        <v>-1063.1099999999997</v>
      </c>
      <c r="J340" s="13">
        <f>H340/G340*100</f>
        <v>83.91396450241342</v>
      </c>
      <c r="K340" s="13">
        <f t="shared" si="20"/>
        <v>3.1132564289832354</v>
      </c>
      <c r="L340" s="13">
        <f t="shared" si="25"/>
        <v>1177.0900000000001</v>
      </c>
      <c r="M340" s="13">
        <f t="shared" si="26"/>
        <v>126.94371323276947</v>
      </c>
    </row>
    <row r="341" spans="1:13" ht="31.5" hidden="1">
      <c r="A341" s="132"/>
      <c r="B341" s="134"/>
      <c r="C341" s="18" t="s">
        <v>27</v>
      </c>
      <c r="D341" s="22" t="s">
        <v>28</v>
      </c>
      <c r="E341" s="13"/>
      <c r="F341" s="13"/>
      <c r="G341" s="13"/>
      <c r="H341" s="13"/>
      <c r="I341" s="13">
        <f t="shared" si="24"/>
        <v>0</v>
      </c>
      <c r="J341" s="13"/>
      <c r="K341" s="13"/>
      <c r="L341" s="13">
        <f t="shared" si="25"/>
        <v>0</v>
      </c>
      <c r="M341" s="13" t="e">
        <f t="shared" si="26"/>
        <v>#DIV/0!</v>
      </c>
    </row>
    <row r="342" spans="1:13" ht="15.75">
      <c r="A342" s="132"/>
      <c r="B342" s="134"/>
      <c r="C342" s="18" t="s">
        <v>35</v>
      </c>
      <c r="D342" s="20" t="s">
        <v>36</v>
      </c>
      <c r="E342" s="13">
        <f>SUM(E343:E346)</f>
        <v>772.5</v>
      </c>
      <c r="F342" s="13">
        <f>SUM(F343:F346)</f>
        <v>22110.899999999998</v>
      </c>
      <c r="G342" s="13">
        <f>SUM(G343:G346)</f>
        <v>993.8</v>
      </c>
      <c r="H342" s="13">
        <f>SUM(H343:H346)</f>
        <v>1534.1499999999999</v>
      </c>
      <c r="I342" s="13">
        <f t="shared" si="24"/>
        <v>540.3499999999999</v>
      </c>
      <c r="J342" s="13">
        <f>H342/G342*100</f>
        <v>154.3721070637955</v>
      </c>
      <c r="K342" s="13">
        <f t="shared" si="20"/>
        <v>6.93843308051685</v>
      </c>
      <c r="L342" s="13">
        <f t="shared" si="25"/>
        <v>761.6499999999999</v>
      </c>
      <c r="M342" s="13">
        <f t="shared" si="26"/>
        <v>198.5954692556634</v>
      </c>
    </row>
    <row r="343" spans="1:13" s="28" customFormat="1" ht="63" customHeight="1" hidden="1">
      <c r="A343" s="132"/>
      <c r="B343" s="134"/>
      <c r="C343" s="16" t="s">
        <v>157</v>
      </c>
      <c r="D343" s="21" t="s">
        <v>158</v>
      </c>
      <c r="E343" s="13">
        <v>36.7</v>
      </c>
      <c r="F343" s="13">
        <v>500</v>
      </c>
      <c r="G343" s="13">
        <v>35</v>
      </c>
      <c r="H343" s="13">
        <v>15.5</v>
      </c>
      <c r="I343" s="13">
        <f t="shared" si="24"/>
        <v>-19.5</v>
      </c>
      <c r="J343" s="13">
        <f>H343/G343*100</f>
        <v>44.285714285714285</v>
      </c>
      <c r="K343" s="13">
        <f t="shared" si="20"/>
        <v>3.1</v>
      </c>
      <c r="L343" s="13">
        <f t="shared" si="25"/>
        <v>-21.200000000000003</v>
      </c>
      <c r="M343" s="13">
        <f t="shared" si="26"/>
        <v>42.23433242506812</v>
      </c>
    </row>
    <row r="344" spans="1:13" s="28" customFormat="1" ht="63" customHeight="1" hidden="1">
      <c r="A344" s="132"/>
      <c r="B344" s="134"/>
      <c r="C344" s="16" t="s">
        <v>159</v>
      </c>
      <c r="D344" s="21" t="s">
        <v>160</v>
      </c>
      <c r="E344" s="13">
        <v>19.6</v>
      </c>
      <c r="F344" s="13">
        <v>529.4</v>
      </c>
      <c r="G344" s="13">
        <v>27.9</v>
      </c>
      <c r="H344" s="13">
        <v>15.5</v>
      </c>
      <c r="I344" s="13">
        <f t="shared" si="24"/>
        <v>-12.399999999999999</v>
      </c>
      <c r="J344" s="13">
        <f>H344/G344*100</f>
        <v>55.55555555555556</v>
      </c>
      <c r="K344" s="13">
        <f t="shared" si="20"/>
        <v>2.927842840952021</v>
      </c>
      <c r="L344" s="13">
        <f t="shared" si="25"/>
        <v>-4.100000000000001</v>
      </c>
      <c r="M344" s="13">
        <f>H344/E344*100</f>
        <v>79.08163265306122</v>
      </c>
    </row>
    <row r="345" spans="1:13" s="28" customFormat="1" ht="47.25" customHeight="1" hidden="1">
      <c r="A345" s="132"/>
      <c r="B345" s="134"/>
      <c r="C345" s="16" t="s">
        <v>161</v>
      </c>
      <c r="D345" s="21" t="s">
        <v>162</v>
      </c>
      <c r="E345" s="13"/>
      <c r="F345" s="13">
        <v>2.2</v>
      </c>
      <c r="G345" s="13"/>
      <c r="H345" s="13">
        <v>0.3</v>
      </c>
      <c r="I345" s="13">
        <f t="shared" si="24"/>
        <v>0.3</v>
      </c>
      <c r="J345" s="13"/>
      <c r="K345" s="13">
        <f t="shared" si="20"/>
        <v>13.636363636363635</v>
      </c>
      <c r="L345" s="13">
        <f t="shared" si="25"/>
        <v>0.3</v>
      </c>
      <c r="M345" s="13"/>
    </row>
    <row r="346" spans="1:13" s="28" customFormat="1" ht="47.25" customHeight="1" hidden="1">
      <c r="A346" s="132"/>
      <c r="B346" s="134"/>
      <c r="C346" s="16" t="s">
        <v>39</v>
      </c>
      <c r="D346" s="21" t="s">
        <v>40</v>
      </c>
      <c r="E346" s="13">
        <v>716.2</v>
      </c>
      <c r="F346" s="13">
        <v>21079.3</v>
      </c>
      <c r="G346" s="13">
        <v>930.9</v>
      </c>
      <c r="H346" s="13">
        <v>1502.85</v>
      </c>
      <c r="I346" s="13">
        <f t="shared" si="24"/>
        <v>571.9499999999999</v>
      </c>
      <c r="J346" s="13">
        <f>H346/G346*100</f>
        <v>161.4405414115372</v>
      </c>
      <c r="K346" s="13">
        <f t="shared" si="20"/>
        <v>7.129506198023654</v>
      </c>
      <c r="L346" s="13">
        <f t="shared" si="25"/>
        <v>786.6499999999999</v>
      </c>
      <c r="M346" s="13">
        <f>H346/E346*100</f>
        <v>209.83663781066738</v>
      </c>
    </row>
    <row r="347" spans="1:13" s="28" customFormat="1" ht="15.75" customHeight="1">
      <c r="A347" s="132"/>
      <c r="B347" s="134"/>
      <c r="C347" s="18" t="s">
        <v>69</v>
      </c>
      <c r="D347" s="21" t="s">
        <v>70</v>
      </c>
      <c r="E347" s="13"/>
      <c r="F347" s="13"/>
      <c r="G347" s="13"/>
      <c r="H347" s="13"/>
      <c r="I347" s="13">
        <f t="shared" si="24"/>
        <v>0</v>
      </c>
      <c r="J347" s="13"/>
      <c r="K347" s="13"/>
      <c r="L347" s="13">
        <f t="shared" si="25"/>
        <v>0</v>
      </c>
      <c r="M347" s="13"/>
    </row>
    <row r="348" spans="1:13" s="28" customFormat="1" ht="15.75">
      <c r="A348" s="132"/>
      <c r="B348" s="134"/>
      <c r="C348" s="36"/>
      <c r="D348" s="26" t="s">
        <v>55</v>
      </c>
      <c r="E348" s="40">
        <f>SUM(E340:E342,E347)</f>
        <v>5141.2</v>
      </c>
      <c r="F348" s="40">
        <f>SUM(F340:F342,F347)</f>
        <v>200245.6</v>
      </c>
      <c r="G348" s="40">
        <f>SUM(G340:G342,G347)</f>
        <v>7602.7</v>
      </c>
      <c r="H348" s="40">
        <f>SUM(H340:H342,H347)</f>
        <v>7079.94</v>
      </c>
      <c r="I348" s="13">
        <f t="shared" si="24"/>
        <v>-522.7600000000002</v>
      </c>
      <c r="J348" s="13">
        <f>H348/G348*100</f>
        <v>93.12402172912255</v>
      </c>
      <c r="K348" s="13">
        <f t="shared" si="20"/>
        <v>3.5356282485108284</v>
      </c>
      <c r="L348" s="13">
        <f t="shared" si="25"/>
        <v>1938.7399999999998</v>
      </c>
      <c r="M348" s="13">
        <f>H348/E348*100</f>
        <v>137.70987318135843</v>
      </c>
    </row>
    <row r="349" spans="1:13" s="28" customFormat="1" ht="31.5" customHeight="1">
      <c r="A349" s="132"/>
      <c r="B349" s="134"/>
      <c r="C349" s="36"/>
      <c r="D349" s="26" t="s">
        <v>56</v>
      </c>
      <c r="E349" s="40">
        <f>E350-E338</f>
        <v>17255.399999999998</v>
      </c>
      <c r="F349" s="40">
        <f>F350-F338</f>
        <v>387300.7</v>
      </c>
      <c r="G349" s="40">
        <f>G350-G338</f>
        <v>7602.7</v>
      </c>
      <c r="H349" s="40">
        <f>H350-H338</f>
        <v>19061.84</v>
      </c>
      <c r="I349" s="13">
        <f t="shared" si="24"/>
        <v>11459.14</v>
      </c>
      <c r="J349" s="13">
        <f>H349/G349*100</f>
        <v>250.72461099346285</v>
      </c>
      <c r="K349" s="27">
        <f t="shared" si="20"/>
        <v>4.921715865734299</v>
      </c>
      <c r="L349" s="13">
        <f t="shared" si="25"/>
        <v>1806.4400000000023</v>
      </c>
      <c r="M349" s="13">
        <f>H349/E349*100</f>
        <v>110.46883874033637</v>
      </c>
    </row>
    <row r="350" spans="1:85" s="33" customFormat="1" ht="15.75">
      <c r="A350" s="135"/>
      <c r="B350" s="136"/>
      <c r="C350" s="41"/>
      <c r="D350" s="26" t="s">
        <v>77</v>
      </c>
      <c r="E350" s="40">
        <f>E339+E348</f>
        <v>17098.899999999998</v>
      </c>
      <c r="F350" s="40">
        <f>F339+F348</f>
        <v>387300.7</v>
      </c>
      <c r="G350" s="40">
        <f>G339+G348</f>
        <v>7602.7</v>
      </c>
      <c r="H350" s="40">
        <f>H339+H348</f>
        <v>19061.84</v>
      </c>
      <c r="I350" s="27">
        <f t="shared" si="24"/>
        <v>11459.14</v>
      </c>
      <c r="J350" s="27">
        <f>H350/G350*100</f>
        <v>250.72461099346285</v>
      </c>
      <c r="K350" s="27">
        <f>H350/F350*100</f>
        <v>4.921715865734299</v>
      </c>
      <c r="L350" s="27">
        <f t="shared" si="25"/>
        <v>1962.9400000000023</v>
      </c>
      <c r="M350" s="27">
        <f>H350/E350*100</f>
        <v>111.47991976092031</v>
      </c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</row>
    <row r="351" spans="1:13" ht="31.5" customHeight="1">
      <c r="A351" s="130" t="s">
        <v>163</v>
      </c>
      <c r="B351" s="130" t="s">
        <v>164</v>
      </c>
      <c r="C351" s="18" t="s">
        <v>165</v>
      </c>
      <c r="D351" s="20" t="s">
        <v>166</v>
      </c>
      <c r="E351" s="13">
        <v>21</v>
      </c>
      <c r="F351" s="13">
        <v>843</v>
      </c>
      <c r="G351" s="13">
        <v>21</v>
      </c>
      <c r="H351" s="13">
        <v>6</v>
      </c>
      <c r="I351" s="13">
        <f t="shared" si="24"/>
        <v>-15</v>
      </c>
      <c r="J351" s="13">
        <f>H351/G351*100</f>
        <v>28.57142857142857</v>
      </c>
      <c r="K351" s="13">
        <f>H351/F351*100</f>
        <v>0.7117437722419928</v>
      </c>
      <c r="L351" s="13">
        <f t="shared" si="25"/>
        <v>-15</v>
      </c>
      <c r="M351" s="13">
        <f>H351/E351*100</f>
        <v>28.57142857142857</v>
      </c>
    </row>
    <row r="352" spans="1:13" ht="15.75" customHeight="1" hidden="1">
      <c r="A352" s="134"/>
      <c r="B352" s="134"/>
      <c r="C352" s="18" t="s">
        <v>21</v>
      </c>
      <c r="D352" s="19" t="s">
        <v>167</v>
      </c>
      <c r="E352" s="13"/>
      <c r="F352" s="13"/>
      <c r="G352" s="13"/>
      <c r="H352" s="13"/>
      <c r="I352" s="13">
        <f t="shared" si="24"/>
        <v>0</v>
      </c>
      <c r="J352" s="13"/>
      <c r="K352" s="13"/>
      <c r="L352" s="13">
        <f t="shared" si="25"/>
        <v>0</v>
      </c>
      <c r="M352" s="13"/>
    </row>
    <row r="353" spans="1:13" ht="69" customHeight="1">
      <c r="A353" s="134"/>
      <c r="B353" s="134"/>
      <c r="C353" s="16" t="s">
        <v>25</v>
      </c>
      <c r="D353" s="21" t="s">
        <v>168</v>
      </c>
      <c r="E353" s="13">
        <v>1032.7</v>
      </c>
      <c r="F353" s="13">
        <v>127696.3</v>
      </c>
      <c r="G353" s="13">
        <v>10641</v>
      </c>
      <c r="H353" s="13">
        <v>10841.92</v>
      </c>
      <c r="I353" s="13">
        <f t="shared" si="24"/>
        <v>200.92000000000007</v>
      </c>
      <c r="J353" s="13">
        <f>H353/G353*100</f>
        <v>101.88816840522507</v>
      </c>
      <c r="K353" s="13">
        <f>H353/F353*100</f>
        <v>8.490394788259332</v>
      </c>
      <c r="L353" s="13">
        <f t="shared" si="25"/>
        <v>9809.22</v>
      </c>
      <c r="M353" s="13">
        <f>H353/E353*100</f>
        <v>1049.8615280333106</v>
      </c>
    </row>
    <row r="354" spans="1:13" ht="31.5" customHeight="1" hidden="1">
      <c r="A354" s="134"/>
      <c r="B354" s="134"/>
      <c r="C354" s="18" t="s">
        <v>27</v>
      </c>
      <c r="D354" s="22" t="s">
        <v>28</v>
      </c>
      <c r="E354" s="13"/>
      <c r="F354" s="13"/>
      <c r="G354" s="13"/>
      <c r="H354" s="13"/>
      <c r="I354" s="13">
        <f t="shared" si="24"/>
        <v>0</v>
      </c>
      <c r="J354" s="13"/>
      <c r="K354" s="13"/>
      <c r="L354" s="13">
        <f t="shared" si="25"/>
        <v>0</v>
      </c>
      <c r="M354" s="13"/>
    </row>
    <row r="355" spans="1:13" ht="15.75" customHeight="1" hidden="1">
      <c r="A355" s="134"/>
      <c r="B355" s="134"/>
      <c r="C355" s="18" t="s">
        <v>35</v>
      </c>
      <c r="D355" s="20" t="s">
        <v>36</v>
      </c>
      <c r="E355" s="13">
        <f>E356</f>
        <v>0</v>
      </c>
      <c r="F355" s="13">
        <f>F356</f>
        <v>0</v>
      </c>
      <c r="G355" s="13">
        <f>G356</f>
        <v>0</v>
      </c>
      <c r="H355" s="13">
        <f>H356</f>
        <v>0</v>
      </c>
      <c r="I355" s="13">
        <f t="shared" si="24"/>
        <v>0</v>
      </c>
      <c r="J355" s="13"/>
      <c r="K355" s="13"/>
      <c r="L355" s="13">
        <f t="shared" si="25"/>
        <v>0</v>
      </c>
      <c r="M355" s="13"/>
    </row>
    <row r="356" spans="1:13" ht="15.75" customHeight="1" hidden="1">
      <c r="A356" s="134"/>
      <c r="B356" s="134"/>
      <c r="C356" s="16" t="s">
        <v>39</v>
      </c>
      <c r="D356" s="21" t="s">
        <v>40</v>
      </c>
      <c r="E356" s="13"/>
      <c r="F356" s="13"/>
      <c r="G356" s="13"/>
      <c r="H356" s="13"/>
      <c r="I356" s="13">
        <f t="shared" si="24"/>
        <v>0</v>
      </c>
      <c r="J356" s="13"/>
      <c r="K356" s="13"/>
      <c r="L356" s="13">
        <f t="shared" si="25"/>
        <v>0</v>
      </c>
      <c r="M356" s="13"/>
    </row>
    <row r="357" spans="1:13" ht="15.75" hidden="1">
      <c r="A357" s="134"/>
      <c r="B357" s="134"/>
      <c r="C357" s="18" t="s">
        <v>41</v>
      </c>
      <c r="D357" s="20" t="s">
        <v>42</v>
      </c>
      <c r="E357" s="13"/>
      <c r="F357" s="13"/>
      <c r="G357" s="13"/>
      <c r="H357" s="13"/>
      <c r="I357" s="13">
        <f t="shared" si="24"/>
        <v>0</v>
      </c>
      <c r="J357" s="13"/>
      <c r="K357" s="13"/>
      <c r="L357" s="13">
        <f t="shared" si="25"/>
        <v>0</v>
      </c>
      <c r="M357" s="13"/>
    </row>
    <row r="358" spans="1:13" ht="15.75" customHeight="1" hidden="1">
      <c r="A358" s="134"/>
      <c r="B358" s="134"/>
      <c r="C358" s="18" t="s">
        <v>43</v>
      </c>
      <c r="D358" s="20" t="s">
        <v>44</v>
      </c>
      <c r="E358" s="13"/>
      <c r="F358" s="13"/>
      <c r="G358" s="13"/>
      <c r="H358" s="13"/>
      <c r="I358" s="13">
        <f t="shared" si="24"/>
        <v>0</v>
      </c>
      <c r="J358" s="13"/>
      <c r="K358" s="13"/>
      <c r="L358" s="13">
        <f t="shared" si="25"/>
        <v>0</v>
      </c>
      <c r="M358" s="13"/>
    </row>
    <row r="359" spans="1:13" ht="15.75" customHeight="1" hidden="1">
      <c r="A359" s="134"/>
      <c r="B359" s="134"/>
      <c r="C359" s="18" t="s">
        <v>45</v>
      </c>
      <c r="D359" s="20" t="s">
        <v>46</v>
      </c>
      <c r="E359" s="13"/>
      <c r="F359" s="13"/>
      <c r="G359" s="13"/>
      <c r="H359" s="13"/>
      <c r="I359" s="13">
        <f t="shared" si="24"/>
        <v>0</v>
      </c>
      <c r="J359" s="13"/>
      <c r="K359" s="13"/>
      <c r="L359" s="13">
        <f t="shared" si="25"/>
        <v>0</v>
      </c>
      <c r="M359" s="13"/>
    </row>
    <row r="360" spans="1:13" ht="31.5">
      <c r="A360" s="134"/>
      <c r="B360" s="134"/>
      <c r="C360" s="18" t="s">
        <v>49</v>
      </c>
      <c r="D360" s="20" t="s">
        <v>50</v>
      </c>
      <c r="E360" s="13"/>
      <c r="F360" s="13">
        <v>30</v>
      </c>
      <c r="G360" s="13"/>
      <c r="H360" s="13"/>
      <c r="I360" s="13">
        <f t="shared" si="24"/>
        <v>0</v>
      </c>
      <c r="J360" s="13"/>
      <c r="K360" s="13">
        <f aca="true" t="shared" si="27" ref="K360:K367">H360/F360*100</f>
        <v>0</v>
      </c>
      <c r="L360" s="13">
        <f t="shared" si="25"/>
        <v>0</v>
      </c>
      <c r="M360" s="13"/>
    </row>
    <row r="361" spans="1:13" s="28" customFormat="1" ht="15.75" customHeight="1">
      <c r="A361" s="134"/>
      <c r="B361" s="134"/>
      <c r="C361" s="25"/>
      <c r="D361" s="26" t="s">
        <v>52</v>
      </c>
      <c r="E361" s="40">
        <f>SUM(E351:E355,E357:E360)</f>
        <v>1053.7</v>
      </c>
      <c r="F361" s="40">
        <f>SUM(F351:F355,F357:F360)</f>
        <v>128569.3</v>
      </c>
      <c r="G361" s="40">
        <f>SUM(G351:G355,G357:G360)</f>
        <v>10662</v>
      </c>
      <c r="H361" s="40">
        <f>SUM(H351:H355,H357:H360)</f>
        <v>10847.92</v>
      </c>
      <c r="I361" s="13">
        <f t="shared" si="24"/>
        <v>185.92000000000007</v>
      </c>
      <c r="J361" s="13">
        <f>H361/G361*100</f>
        <v>101.74376289626711</v>
      </c>
      <c r="K361" s="27">
        <f t="shared" si="27"/>
        <v>8.437410797134309</v>
      </c>
      <c r="L361" s="13">
        <f t="shared" si="25"/>
        <v>9794.22</v>
      </c>
      <c r="M361" s="13">
        <f>H361/E361*100</f>
        <v>1029.5074499383127</v>
      </c>
    </row>
    <row r="362" spans="1:13" ht="15.75">
      <c r="A362" s="134"/>
      <c r="B362" s="134"/>
      <c r="C362" s="18" t="s">
        <v>169</v>
      </c>
      <c r="D362" s="20" t="s">
        <v>170</v>
      </c>
      <c r="E362" s="13"/>
      <c r="F362" s="13">
        <v>652.7</v>
      </c>
      <c r="G362" s="13"/>
      <c r="H362" s="13">
        <v>3.96</v>
      </c>
      <c r="I362" s="13">
        <f t="shared" si="24"/>
        <v>3.96</v>
      </c>
      <c r="J362" s="13"/>
      <c r="K362" s="13">
        <f t="shared" si="27"/>
        <v>0.60671058679332</v>
      </c>
      <c r="L362" s="13">
        <f t="shared" si="25"/>
        <v>3.96</v>
      </c>
      <c r="M362" s="13"/>
    </row>
    <row r="363" spans="1:13" ht="15.75">
      <c r="A363" s="134"/>
      <c r="B363" s="134"/>
      <c r="C363" s="18" t="s">
        <v>35</v>
      </c>
      <c r="D363" s="20" t="s">
        <v>36</v>
      </c>
      <c r="E363" s="13">
        <f>SUM(E364:E365)</f>
        <v>1143.7</v>
      </c>
      <c r="F363" s="13">
        <f>SUM(F364:F365)</f>
        <v>9874</v>
      </c>
      <c r="G363" s="13">
        <f>SUM(G364:G365)</f>
        <v>562.5</v>
      </c>
      <c r="H363" s="13">
        <f>SUM(H364:H365)</f>
        <v>677.64</v>
      </c>
      <c r="I363" s="13">
        <f t="shared" si="24"/>
        <v>115.13999999999999</v>
      </c>
      <c r="J363" s="13">
        <f>H363/G363*100</f>
        <v>120.46933333333334</v>
      </c>
      <c r="K363" s="13">
        <f t="shared" si="27"/>
        <v>6.862872189588819</v>
      </c>
      <c r="L363" s="13">
        <f t="shared" si="25"/>
        <v>-466.06000000000006</v>
      </c>
      <c r="M363" s="13">
        <f>H363/E363*100</f>
        <v>59.24980327008831</v>
      </c>
    </row>
    <row r="364" spans="1:13" s="28" customFormat="1" ht="48.75" customHeight="1" hidden="1">
      <c r="A364" s="134"/>
      <c r="B364" s="134"/>
      <c r="C364" s="16" t="s">
        <v>171</v>
      </c>
      <c r="D364" s="21" t="s">
        <v>172</v>
      </c>
      <c r="E364" s="13">
        <v>1115.2</v>
      </c>
      <c r="F364" s="13">
        <v>9124</v>
      </c>
      <c r="G364" s="13">
        <v>500</v>
      </c>
      <c r="H364" s="13">
        <v>610.99</v>
      </c>
      <c r="I364" s="13">
        <f t="shared" si="24"/>
        <v>110.99000000000001</v>
      </c>
      <c r="J364" s="13">
        <f>H364/G364*100</f>
        <v>122.19800000000001</v>
      </c>
      <c r="K364" s="13">
        <f t="shared" si="27"/>
        <v>6.696514686540992</v>
      </c>
      <c r="L364" s="13">
        <f t="shared" si="25"/>
        <v>-504.21000000000004</v>
      </c>
      <c r="M364" s="13">
        <f>H364/E364*100</f>
        <v>54.787482065997125</v>
      </c>
    </row>
    <row r="365" spans="1:13" s="28" customFormat="1" ht="48.75" customHeight="1" hidden="1">
      <c r="A365" s="134"/>
      <c r="B365" s="134"/>
      <c r="C365" s="16" t="s">
        <v>39</v>
      </c>
      <c r="D365" s="21" t="s">
        <v>40</v>
      </c>
      <c r="E365" s="13">
        <v>28.5</v>
      </c>
      <c r="F365" s="13">
        <v>750</v>
      </c>
      <c r="G365" s="13">
        <v>62.5</v>
      </c>
      <c r="H365" s="13">
        <v>66.65</v>
      </c>
      <c r="I365" s="13">
        <f t="shared" si="24"/>
        <v>4.150000000000006</v>
      </c>
      <c r="J365" s="13">
        <f>H365/G365*100</f>
        <v>106.64</v>
      </c>
      <c r="K365" s="13">
        <f t="shared" si="27"/>
        <v>8.886666666666668</v>
      </c>
      <c r="L365" s="13">
        <f t="shared" si="25"/>
        <v>38.150000000000006</v>
      </c>
      <c r="M365" s="13">
        <f>H365/E365*100</f>
        <v>233.85964912280707</v>
      </c>
    </row>
    <row r="366" spans="1:13" s="28" customFormat="1" ht="15.75">
      <c r="A366" s="134"/>
      <c r="B366" s="134"/>
      <c r="C366" s="36"/>
      <c r="D366" s="26" t="s">
        <v>55</v>
      </c>
      <c r="E366" s="40">
        <f>SUM(E362:E363)</f>
        <v>1143.7</v>
      </c>
      <c r="F366" s="40">
        <f>SUM(F362:F363)</f>
        <v>10526.7</v>
      </c>
      <c r="G366" s="40">
        <f>SUM(G362:G363)</f>
        <v>562.5</v>
      </c>
      <c r="H366" s="40">
        <f>SUM(H362:H363)</f>
        <v>681.6</v>
      </c>
      <c r="I366" s="13">
        <f t="shared" si="24"/>
        <v>119.10000000000002</v>
      </c>
      <c r="J366" s="13">
        <f>H366/G366*100</f>
        <v>121.17333333333333</v>
      </c>
      <c r="K366" s="27">
        <f t="shared" si="27"/>
        <v>6.47496366382627</v>
      </c>
      <c r="L366" s="13">
        <f t="shared" si="25"/>
        <v>-462.1</v>
      </c>
      <c r="M366" s="13">
        <f>H366/E366*100</f>
        <v>59.59604791466293</v>
      </c>
    </row>
    <row r="367" spans="1:85" s="33" customFormat="1" ht="15.75" customHeight="1">
      <c r="A367" s="136"/>
      <c r="B367" s="136"/>
      <c r="C367" s="30"/>
      <c r="D367" s="26" t="s">
        <v>77</v>
      </c>
      <c r="E367" s="40">
        <f>E361+E366</f>
        <v>2197.4</v>
      </c>
      <c r="F367" s="40">
        <f>F361+F366</f>
        <v>139096</v>
      </c>
      <c r="G367" s="40">
        <f>G361+G366</f>
        <v>11224.5</v>
      </c>
      <c r="H367" s="40">
        <f>H361+H366</f>
        <v>11529.52</v>
      </c>
      <c r="I367" s="27">
        <f t="shared" si="24"/>
        <v>305.02000000000044</v>
      </c>
      <c r="J367" s="27">
        <f>H367/G367*100</f>
        <v>102.71744843868325</v>
      </c>
      <c r="K367" s="27">
        <f t="shared" si="27"/>
        <v>8.288894001265314</v>
      </c>
      <c r="L367" s="27">
        <f t="shared" si="25"/>
        <v>9332.12</v>
      </c>
      <c r="M367" s="27">
        <f>H367/E367*100</f>
        <v>524.6891781195959</v>
      </c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</row>
    <row r="368" spans="1:13" s="28" customFormat="1" ht="15.75" hidden="1">
      <c r="A368" s="114" t="s">
        <v>173</v>
      </c>
      <c r="B368" s="114" t="s">
        <v>174</v>
      </c>
      <c r="C368" s="18" t="s">
        <v>45</v>
      </c>
      <c r="D368" s="20" t="s">
        <v>46</v>
      </c>
      <c r="E368" s="39"/>
      <c r="F368" s="40"/>
      <c r="G368" s="40"/>
      <c r="H368" s="40"/>
      <c r="I368" s="13">
        <f t="shared" si="24"/>
        <v>0</v>
      </c>
      <c r="J368" s="13"/>
      <c r="K368" s="13"/>
      <c r="L368" s="13">
        <f t="shared" si="25"/>
        <v>0</v>
      </c>
      <c r="M368" s="13"/>
    </row>
    <row r="369" spans="1:13" s="28" customFormat="1" ht="47.25" hidden="1">
      <c r="A369" s="114"/>
      <c r="B369" s="114"/>
      <c r="C369" s="25"/>
      <c r="D369" s="26" t="s">
        <v>56</v>
      </c>
      <c r="E369" s="40">
        <f>E368-E368</f>
        <v>0</v>
      </c>
      <c r="F369" s="40">
        <f>F368-F368</f>
        <v>0</v>
      </c>
      <c r="G369" s="40">
        <f>G368-G368</f>
        <v>0</v>
      </c>
      <c r="H369" s="40">
        <f>H368-H368</f>
        <v>0</v>
      </c>
      <c r="I369" s="13">
        <f t="shared" si="24"/>
        <v>0</v>
      </c>
      <c r="J369" s="13"/>
      <c r="K369" s="27"/>
      <c r="L369" s="13">
        <f t="shared" si="25"/>
        <v>0</v>
      </c>
      <c r="M369" s="13"/>
    </row>
    <row r="370" spans="1:85" s="33" customFormat="1" ht="15.75" hidden="1">
      <c r="A370" s="114"/>
      <c r="B370" s="114"/>
      <c r="C370" s="30"/>
      <c r="D370" s="26" t="s">
        <v>77</v>
      </c>
      <c r="E370" s="40">
        <f>E368</f>
        <v>0</v>
      </c>
      <c r="F370" s="40">
        <f>F368</f>
        <v>0</v>
      </c>
      <c r="G370" s="40">
        <f>G368</f>
        <v>0</v>
      </c>
      <c r="H370" s="40">
        <f>H368</f>
        <v>0</v>
      </c>
      <c r="I370" s="13">
        <f t="shared" si="24"/>
        <v>0</v>
      </c>
      <c r="J370" s="13"/>
      <c r="K370" s="27"/>
      <c r="L370" s="13">
        <f t="shared" si="25"/>
        <v>0</v>
      </c>
      <c r="M370" s="13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</row>
    <row r="371" spans="1:13" ht="31.5" hidden="1">
      <c r="A371" s="137" t="s">
        <v>175</v>
      </c>
      <c r="B371" s="114" t="s">
        <v>176</v>
      </c>
      <c r="C371" s="18" t="s">
        <v>27</v>
      </c>
      <c r="D371" s="22" t="s">
        <v>28</v>
      </c>
      <c r="E371" s="13"/>
      <c r="F371" s="13"/>
      <c r="G371" s="13"/>
      <c r="H371" s="13"/>
      <c r="I371" s="13">
        <f t="shared" si="24"/>
        <v>0</v>
      </c>
      <c r="J371" s="13"/>
      <c r="K371" s="13"/>
      <c r="L371" s="13">
        <f t="shared" si="25"/>
        <v>0</v>
      </c>
      <c r="M371" s="13"/>
    </row>
    <row r="372" spans="1:13" ht="94.5" hidden="1">
      <c r="A372" s="137"/>
      <c r="B372" s="114"/>
      <c r="C372" s="16" t="s">
        <v>29</v>
      </c>
      <c r="D372" s="23" t="s">
        <v>30</v>
      </c>
      <c r="E372" s="13"/>
      <c r="F372" s="13"/>
      <c r="G372" s="13"/>
      <c r="H372" s="13"/>
      <c r="I372" s="13">
        <f t="shared" si="24"/>
        <v>0</v>
      </c>
      <c r="J372" s="13"/>
      <c r="K372" s="13"/>
      <c r="L372" s="13">
        <f t="shared" si="25"/>
        <v>0</v>
      </c>
      <c r="M372" s="13" t="e">
        <f aca="true" t="shared" si="28" ref="M372:M381">H372/E372*100</f>
        <v>#DIV/0!</v>
      </c>
    </row>
    <row r="373" spans="1:13" ht="15.75" customHeight="1" hidden="1">
      <c r="A373" s="137"/>
      <c r="B373" s="114"/>
      <c r="C373" s="18" t="s">
        <v>35</v>
      </c>
      <c r="D373" s="20" t="s">
        <v>36</v>
      </c>
      <c r="E373" s="13">
        <f>E374</f>
        <v>0</v>
      </c>
      <c r="F373" s="13">
        <f>F374</f>
        <v>0</v>
      </c>
      <c r="G373" s="13">
        <f>G374</f>
        <v>0</v>
      </c>
      <c r="H373" s="13">
        <f>H374</f>
        <v>0</v>
      </c>
      <c r="I373" s="13">
        <f t="shared" si="24"/>
        <v>0</v>
      </c>
      <c r="J373" s="13"/>
      <c r="K373" s="13"/>
      <c r="L373" s="13">
        <f t="shared" si="25"/>
        <v>0</v>
      </c>
      <c r="M373" s="13" t="e">
        <f t="shared" si="28"/>
        <v>#DIV/0!</v>
      </c>
    </row>
    <row r="374" spans="1:13" ht="15.75" customHeight="1" hidden="1">
      <c r="A374" s="137"/>
      <c r="B374" s="114"/>
      <c r="C374" s="16" t="s">
        <v>39</v>
      </c>
      <c r="D374" s="21" t="s">
        <v>40</v>
      </c>
      <c r="E374" s="13"/>
      <c r="F374" s="13"/>
      <c r="G374" s="13"/>
      <c r="H374" s="13"/>
      <c r="I374" s="13">
        <f t="shared" si="24"/>
        <v>0</v>
      </c>
      <c r="J374" s="13"/>
      <c r="K374" s="13"/>
      <c r="L374" s="13">
        <f t="shared" si="25"/>
        <v>0</v>
      </c>
      <c r="M374" s="13" t="e">
        <f t="shared" si="28"/>
        <v>#DIV/0!</v>
      </c>
    </row>
    <row r="375" spans="1:13" ht="15.75" customHeight="1" hidden="1">
      <c r="A375" s="137"/>
      <c r="B375" s="114"/>
      <c r="C375" s="18" t="s">
        <v>41</v>
      </c>
      <c r="D375" s="20" t="s">
        <v>42</v>
      </c>
      <c r="E375" s="13"/>
      <c r="F375" s="13"/>
      <c r="G375" s="13"/>
      <c r="H375" s="13"/>
      <c r="I375" s="13">
        <f t="shared" si="24"/>
        <v>0</v>
      </c>
      <c r="J375" s="13"/>
      <c r="K375" s="13"/>
      <c r="L375" s="13">
        <f t="shared" si="25"/>
        <v>0</v>
      </c>
      <c r="M375" s="13" t="e">
        <f t="shared" si="28"/>
        <v>#DIV/0!</v>
      </c>
    </row>
    <row r="376" spans="1:13" ht="15.75" customHeight="1" hidden="1">
      <c r="A376" s="137"/>
      <c r="B376" s="114"/>
      <c r="C376" s="18" t="s">
        <v>45</v>
      </c>
      <c r="D376" s="20" t="s">
        <v>46</v>
      </c>
      <c r="E376" s="50"/>
      <c r="F376" s="13"/>
      <c r="G376" s="13"/>
      <c r="H376" s="13"/>
      <c r="I376" s="13">
        <f t="shared" si="24"/>
        <v>0</v>
      </c>
      <c r="J376" s="13"/>
      <c r="K376" s="13"/>
      <c r="L376" s="13">
        <f t="shared" si="25"/>
        <v>0</v>
      </c>
      <c r="M376" s="13" t="e">
        <f t="shared" si="28"/>
        <v>#DIV/0!</v>
      </c>
    </row>
    <row r="377" spans="1:13" ht="31.5">
      <c r="A377" s="137"/>
      <c r="B377" s="114"/>
      <c r="C377" s="18" t="s">
        <v>49</v>
      </c>
      <c r="D377" s="20" t="s">
        <v>50</v>
      </c>
      <c r="E377" s="13">
        <v>95.2</v>
      </c>
      <c r="F377" s="13">
        <f>18100+1134.8+430+1100</f>
        <v>20764.8</v>
      </c>
      <c r="G377" s="13">
        <f>133.5+107.5</f>
        <v>241</v>
      </c>
      <c r="H377" s="13">
        <f>133.5+107.5</f>
        <v>241</v>
      </c>
      <c r="I377" s="13">
        <f t="shared" si="24"/>
        <v>0</v>
      </c>
      <c r="J377" s="13">
        <f>H377/G377*100</f>
        <v>100</v>
      </c>
      <c r="K377" s="13">
        <f>H377/F377*100</f>
        <v>1.1606179688703961</v>
      </c>
      <c r="L377" s="13">
        <f t="shared" si="25"/>
        <v>145.8</v>
      </c>
      <c r="M377" s="13">
        <f t="shared" si="28"/>
        <v>253.15126050420167</v>
      </c>
    </row>
    <row r="378" spans="1:13" ht="15.75" customHeight="1">
      <c r="A378" s="137"/>
      <c r="B378" s="114"/>
      <c r="C378" s="18" t="s">
        <v>69</v>
      </c>
      <c r="D378" s="21" t="s">
        <v>70</v>
      </c>
      <c r="E378" s="13"/>
      <c r="F378" s="13"/>
      <c r="G378" s="13"/>
      <c r="H378" s="13"/>
      <c r="I378" s="13">
        <f t="shared" si="24"/>
        <v>0</v>
      </c>
      <c r="J378" s="13"/>
      <c r="K378" s="13"/>
      <c r="L378" s="13">
        <f t="shared" si="25"/>
        <v>0</v>
      </c>
      <c r="M378" s="13" t="e">
        <f t="shared" si="28"/>
        <v>#DIV/0!</v>
      </c>
    </row>
    <row r="379" spans="1:13" ht="15.75" customHeight="1">
      <c r="A379" s="137"/>
      <c r="B379" s="114"/>
      <c r="C379" s="18" t="s">
        <v>51</v>
      </c>
      <c r="D379" s="20" t="s">
        <v>46</v>
      </c>
      <c r="E379" s="13">
        <v>-384.6</v>
      </c>
      <c r="F379" s="13"/>
      <c r="G379" s="13"/>
      <c r="H379" s="13">
        <v>-800.31</v>
      </c>
      <c r="I379" s="13">
        <f t="shared" si="24"/>
        <v>-800.31</v>
      </c>
      <c r="J379" s="13"/>
      <c r="K379" s="13"/>
      <c r="L379" s="13">
        <f t="shared" si="25"/>
        <v>-415.7099999999999</v>
      </c>
      <c r="M379" s="13">
        <f t="shared" si="28"/>
        <v>208.08892355694226</v>
      </c>
    </row>
    <row r="380" spans="1:13" s="28" customFormat="1" ht="47.25">
      <c r="A380" s="137"/>
      <c r="B380" s="114"/>
      <c r="C380" s="36"/>
      <c r="D380" s="26" t="s">
        <v>56</v>
      </c>
      <c r="E380" s="27">
        <f>E381-E379</f>
        <v>95.19999999999999</v>
      </c>
      <c r="F380" s="27">
        <f>F381-F379</f>
        <v>20764.8</v>
      </c>
      <c r="G380" s="27">
        <f>G381-G379</f>
        <v>241</v>
      </c>
      <c r="H380" s="27">
        <f>H381-H379</f>
        <v>241</v>
      </c>
      <c r="I380" s="13">
        <f t="shared" si="24"/>
        <v>0</v>
      </c>
      <c r="J380" s="13">
        <f>H380/G380*100</f>
        <v>100</v>
      </c>
      <c r="K380" s="27">
        <f>H380/F380*100</f>
        <v>1.1606179688703961</v>
      </c>
      <c r="L380" s="13">
        <f t="shared" si="25"/>
        <v>145.8</v>
      </c>
      <c r="M380" s="13">
        <f t="shared" si="28"/>
        <v>253.1512605042017</v>
      </c>
    </row>
    <row r="381" spans="1:85" s="33" customFormat="1" ht="15.75">
      <c r="A381" s="137"/>
      <c r="B381" s="114"/>
      <c r="C381" s="45"/>
      <c r="D381" s="26" t="s">
        <v>77</v>
      </c>
      <c r="E381" s="40">
        <f>SUM(E371:E379)-E373</f>
        <v>-289.40000000000003</v>
      </c>
      <c r="F381" s="40">
        <f>SUM(F371:F379)-F373</f>
        <v>20764.8</v>
      </c>
      <c r="G381" s="40">
        <f>SUM(G371:G379)-G373</f>
        <v>241</v>
      </c>
      <c r="H381" s="40">
        <f>SUM(H371:H379)-H373</f>
        <v>-559.31</v>
      </c>
      <c r="I381" s="27">
        <f t="shared" si="24"/>
        <v>-800.31</v>
      </c>
      <c r="J381" s="27">
        <f>H381/G381*100</f>
        <v>-232.0788381742738</v>
      </c>
      <c r="K381" s="27">
        <f>H381/F381*100</f>
        <v>-2.6935486977962704</v>
      </c>
      <c r="L381" s="27">
        <f t="shared" si="25"/>
        <v>-269.9099999999999</v>
      </c>
      <c r="M381" s="27">
        <f t="shared" si="28"/>
        <v>193.26537664132684</v>
      </c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  <c r="CG381" s="28"/>
    </row>
    <row r="382" spans="1:13" s="28" customFormat="1" ht="31.5" customHeight="1" hidden="1">
      <c r="A382" s="128" t="s">
        <v>177</v>
      </c>
      <c r="B382" s="130" t="s">
        <v>178</v>
      </c>
      <c r="C382" s="18" t="s">
        <v>27</v>
      </c>
      <c r="D382" s="22" t="s">
        <v>28</v>
      </c>
      <c r="E382" s="39"/>
      <c r="F382" s="40"/>
      <c r="G382" s="40"/>
      <c r="H382" s="39"/>
      <c r="I382" s="13">
        <f t="shared" si="24"/>
        <v>0</v>
      </c>
      <c r="J382" s="13"/>
      <c r="K382" s="13"/>
      <c r="L382" s="13">
        <f t="shared" si="25"/>
        <v>0</v>
      </c>
      <c r="M382" s="13"/>
    </row>
    <row r="383" spans="1:13" s="28" customFormat="1" ht="31.5" customHeight="1" hidden="1">
      <c r="A383" s="132"/>
      <c r="B383" s="134"/>
      <c r="C383" s="16" t="s">
        <v>29</v>
      </c>
      <c r="D383" s="23" t="s">
        <v>30</v>
      </c>
      <c r="E383" s="39"/>
      <c r="F383" s="40"/>
      <c r="G383" s="40"/>
      <c r="H383" s="39"/>
      <c r="I383" s="13">
        <f t="shared" si="24"/>
        <v>0</v>
      </c>
      <c r="J383" s="13"/>
      <c r="K383" s="13"/>
      <c r="L383" s="13">
        <f t="shared" si="25"/>
        <v>0</v>
      </c>
      <c r="M383" s="13"/>
    </row>
    <row r="384" spans="1:13" s="28" customFormat="1" ht="15.75" customHeight="1" hidden="1">
      <c r="A384" s="133"/>
      <c r="B384" s="133"/>
      <c r="C384" s="18" t="s">
        <v>35</v>
      </c>
      <c r="D384" s="20" t="s">
        <v>36</v>
      </c>
      <c r="E384" s="39">
        <f>E385</f>
        <v>0</v>
      </c>
      <c r="F384" s="39">
        <f>F385</f>
        <v>0</v>
      </c>
      <c r="G384" s="39">
        <f>G385</f>
        <v>0</v>
      </c>
      <c r="H384" s="39">
        <f>H385</f>
        <v>0</v>
      </c>
      <c r="I384" s="13">
        <f t="shared" si="24"/>
        <v>0</v>
      </c>
      <c r="J384" s="13"/>
      <c r="K384" s="13"/>
      <c r="L384" s="13">
        <f t="shared" si="25"/>
        <v>0</v>
      </c>
      <c r="M384" s="13"/>
    </row>
    <row r="385" spans="1:13" s="28" customFormat="1" ht="47.25" customHeight="1" hidden="1">
      <c r="A385" s="133"/>
      <c r="B385" s="133"/>
      <c r="C385" s="16" t="s">
        <v>39</v>
      </c>
      <c r="D385" s="21" t="s">
        <v>40</v>
      </c>
      <c r="E385" s="13"/>
      <c r="F385" s="13"/>
      <c r="G385" s="13"/>
      <c r="H385" s="13"/>
      <c r="I385" s="13">
        <f t="shared" si="24"/>
        <v>0</v>
      </c>
      <c r="J385" s="13"/>
      <c r="K385" s="13"/>
      <c r="L385" s="13">
        <f t="shared" si="25"/>
        <v>0</v>
      </c>
      <c r="M385" s="13"/>
    </row>
    <row r="386" spans="1:13" s="28" customFormat="1" ht="15.75" hidden="1">
      <c r="A386" s="133"/>
      <c r="B386" s="133"/>
      <c r="C386" s="18" t="s">
        <v>41</v>
      </c>
      <c r="D386" s="20" t="s">
        <v>42</v>
      </c>
      <c r="E386" s="39"/>
      <c r="F386" s="40"/>
      <c r="G386" s="40"/>
      <c r="H386" s="39"/>
      <c r="I386" s="13">
        <f t="shared" si="24"/>
        <v>0</v>
      </c>
      <c r="J386" s="13"/>
      <c r="K386" s="13"/>
      <c r="L386" s="13">
        <f t="shared" si="25"/>
        <v>0</v>
      </c>
      <c r="M386" s="13"/>
    </row>
    <row r="387" spans="1:13" s="28" customFormat="1" ht="31.5" hidden="1">
      <c r="A387" s="133"/>
      <c r="B387" s="133"/>
      <c r="C387" s="18" t="s">
        <v>43</v>
      </c>
      <c r="D387" s="20" t="s">
        <v>44</v>
      </c>
      <c r="E387" s="39"/>
      <c r="F387" s="40"/>
      <c r="G387" s="40"/>
      <c r="H387" s="39"/>
      <c r="I387" s="13">
        <f t="shared" si="24"/>
        <v>0</v>
      </c>
      <c r="J387" s="13"/>
      <c r="K387" s="13"/>
      <c r="L387" s="13">
        <f t="shared" si="25"/>
        <v>0</v>
      </c>
      <c r="M387" s="13"/>
    </row>
    <row r="388" spans="1:13" s="28" customFormat="1" ht="15.75" customHeight="1" hidden="1">
      <c r="A388" s="133"/>
      <c r="B388" s="133"/>
      <c r="C388" s="18" t="s">
        <v>45</v>
      </c>
      <c r="D388" s="20" t="s">
        <v>46</v>
      </c>
      <c r="E388" s="48"/>
      <c r="F388" s="40"/>
      <c r="G388" s="40"/>
      <c r="H388" s="39"/>
      <c r="I388" s="13">
        <f t="shared" si="24"/>
        <v>0</v>
      </c>
      <c r="J388" s="13"/>
      <c r="K388" s="13"/>
      <c r="L388" s="13">
        <f t="shared" si="25"/>
        <v>0</v>
      </c>
      <c r="M388" s="13">
        <f>H388/E392*100</f>
        <v>0</v>
      </c>
    </row>
    <row r="389" spans="1:13" ht="15.75" hidden="1">
      <c r="A389" s="133"/>
      <c r="B389" s="133"/>
      <c r="C389" s="18" t="s">
        <v>47</v>
      </c>
      <c r="D389" s="20" t="s">
        <v>132</v>
      </c>
      <c r="E389" s="39"/>
      <c r="F389" s="39"/>
      <c r="G389" s="39"/>
      <c r="H389" s="39"/>
      <c r="I389" s="13">
        <f t="shared" si="24"/>
        <v>0</v>
      </c>
      <c r="J389" s="13"/>
      <c r="K389" s="13"/>
      <c r="L389" s="13">
        <f t="shared" si="25"/>
        <v>0</v>
      </c>
      <c r="M389" s="13"/>
    </row>
    <row r="390" spans="1:13" ht="31.5">
      <c r="A390" s="133"/>
      <c r="B390" s="133"/>
      <c r="C390" s="18" t="s">
        <v>49</v>
      </c>
      <c r="D390" s="20" t="s">
        <v>50</v>
      </c>
      <c r="E390" s="39"/>
      <c r="F390" s="39">
        <v>3000</v>
      </c>
      <c r="G390" s="39"/>
      <c r="H390" s="39"/>
      <c r="I390" s="13">
        <f t="shared" si="24"/>
        <v>0</v>
      </c>
      <c r="J390" s="13"/>
      <c r="K390" s="13">
        <f>H390/F390*100</f>
        <v>0</v>
      </c>
      <c r="L390" s="13">
        <f t="shared" si="25"/>
        <v>0</v>
      </c>
      <c r="M390" s="13"/>
    </row>
    <row r="391" spans="1:13" ht="15.75" customHeight="1" hidden="1">
      <c r="A391" s="133"/>
      <c r="B391" s="133"/>
      <c r="C391" s="18" t="s">
        <v>69</v>
      </c>
      <c r="D391" s="21" t="s">
        <v>70</v>
      </c>
      <c r="E391" s="39"/>
      <c r="F391" s="39"/>
      <c r="G391" s="39"/>
      <c r="H391" s="39"/>
      <c r="I391" s="13">
        <f t="shared" si="24"/>
        <v>0</v>
      </c>
      <c r="J391" s="13"/>
      <c r="K391" s="13"/>
      <c r="L391" s="13">
        <f t="shared" si="25"/>
        <v>0</v>
      </c>
      <c r="M391" s="13"/>
    </row>
    <row r="392" spans="1:13" ht="15.75" customHeight="1">
      <c r="A392" s="133"/>
      <c r="B392" s="133"/>
      <c r="C392" s="18" t="s">
        <v>51</v>
      </c>
      <c r="D392" s="20" t="s">
        <v>46</v>
      </c>
      <c r="E392" s="39">
        <v>-182.8</v>
      </c>
      <c r="F392" s="39"/>
      <c r="G392" s="39"/>
      <c r="H392" s="39">
        <v>-273.24</v>
      </c>
      <c r="I392" s="13">
        <f t="shared" si="24"/>
        <v>-273.24</v>
      </c>
      <c r="J392" s="13"/>
      <c r="K392" s="13"/>
      <c r="L392" s="13">
        <f t="shared" si="25"/>
        <v>-90.44</v>
      </c>
      <c r="M392" s="13">
        <f>H392/E392*100</f>
        <v>149.47483588621444</v>
      </c>
    </row>
    <row r="393" spans="1:13" ht="47.25">
      <c r="A393" s="133"/>
      <c r="B393" s="133"/>
      <c r="C393" s="18"/>
      <c r="D393" s="26" t="s">
        <v>56</v>
      </c>
      <c r="E393" s="40">
        <f>E394-E392</f>
        <v>0</v>
      </c>
      <c r="F393" s="40">
        <f>F394-F392</f>
        <v>3000</v>
      </c>
      <c r="G393" s="40">
        <f>G394-G392</f>
        <v>0</v>
      </c>
      <c r="H393" s="40">
        <f>H394-H392</f>
        <v>0</v>
      </c>
      <c r="I393" s="13">
        <f t="shared" si="24"/>
        <v>0</v>
      </c>
      <c r="J393" s="13"/>
      <c r="K393" s="27">
        <f>H393/F393*100</f>
        <v>0</v>
      </c>
      <c r="L393" s="13">
        <f t="shared" si="25"/>
        <v>0</v>
      </c>
      <c r="M393" s="13"/>
    </row>
    <row r="394" spans="1:85" s="33" customFormat="1" ht="15.75">
      <c r="A394" s="129"/>
      <c r="B394" s="129"/>
      <c r="C394" s="45"/>
      <c r="D394" s="26" t="s">
        <v>77</v>
      </c>
      <c r="E394" s="40">
        <f>SUM(E382:E384,E386:E392)</f>
        <v>-182.8</v>
      </c>
      <c r="F394" s="40">
        <f>SUM(F382:F384,F386:F392)</f>
        <v>3000</v>
      </c>
      <c r="G394" s="40">
        <f>SUM(G382:G384,G386:G392)</f>
        <v>0</v>
      </c>
      <c r="H394" s="40">
        <f>SUM(H382:H384,H386:H392)</f>
        <v>-273.24</v>
      </c>
      <c r="I394" s="27">
        <f t="shared" si="24"/>
        <v>-273.24</v>
      </c>
      <c r="J394" s="27"/>
      <c r="K394" s="27">
        <f>H394/F394*100</f>
        <v>-9.108</v>
      </c>
      <c r="L394" s="27">
        <f t="shared" si="25"/>
        <v>-90.44</v>
      </c>
      <c r="M394" s="27">
        <f>H394/E394*100</f>
        <v>149.47483588621444</v>
      </c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</row>
    <row r="395" spans="1:13" s="28" customFormat="1" ht="31.5" customHeight="1" hidden="1">
      <c r="A395" s="130">
        <v>977</v>
      </c>
      <c r="B395" s="130" t="s">
        <v>179</v>
      </c>
      <c r="C395" s="18" t="s">
        <v>27</v>
      </c>
      <c r="D395" s="22" t="s">
        <v>28</v>
      </c>
      <c r="E395" s="39"/>
      <c r="F395" s="39"/>
      <c r="G395" s="39"/>
      <c r="H395" s="39"/>
      <c r="I395" s="13">
        <f t="shared" si="24"/>
        <v>0</v>
      </c>
      <c r="J395" s="13"/>
      <c r="K395" s="13"/>
      <c r="L395" s="13">
        <f t="shared" si="25"/>
        <v>0</v>
      </c>
      <c r="M395" s="13"/>
    </row>
    <row r="396" spans="1:13" s="28" customFormat="1" ht="15.75" hidden="1">
      <c r="A396" s="134"/>
      <c r="B396" s="134"/>
      <c r="C396" s="18" t="s">
        <v>35</v>
      </c>
      <c r="D396" s="20" t="s">
        <v>36</v>
      </c>
      <c r="E396" s="39">
        <f>E397+E398</f>
        <v>0</v>
      </c>
      <c r="F396" s="39">
        <f>F397+F398</f>
        <v>0</v>
      </c>
      <c r="G396" s="39">
        <f>G397+G398</f>
        <v>0</v>
      </c>
      <c r="H396" s="39">
        <f>H397+H398</f>
        <v>0</v>
      </c>
      <c r="I396" s="13">
        <f t="shared" si="24"/>
        <v>0</v>
      </c>
      <c r="J396" s="13"/>
      <c r="K396" s="13"/>
      <c r="L396" s="13">
        <f t="shared" si="25"/>
        <v>0</v>
      </c>
      <c r="M396" s="13"/>
    </row>
    <row r="397" spans="1:13" s="28" customFormat="1" ht="31.5" customHeight="1" hidden="1">
      <c r="A397" s="134"/>
      <c r="B397" s="134"/>
      <c r="C397" s="16" t="s">
        <v>60</v>
      </c>
      <c r="D397" s="21" t="s">
        <v>61</v>
      </c>
      <c r="E397" s="39"/>
      <c r="F397" s="39"/>
      <c r="G397" s="39"/>
      <c r="H397" s="39"/>
      <c r="I397" s="13">
        <f t="shared" si="24"/>
        <v>0</v>
      </c>
      <c r="J397" s="13"/>
      <c r="K397" s="13"/>
      <c r="L397" s="13">
        <f t="shared" si="25"/>
        <v>0</v>
      </c>
      <c r="M397" s="13"/>
    </row>
    <row r="398" spans="1:13" s="28" customFormat="1" ht="48" customHeight="1" hidden="1">
      <c r="A398" s="134"/>
      <c r="B398" s="134"/>
      <c r="C398" s="16" t="s">
        <v>39</v>
      </c>
      <c r="D398" s="21" t="s">
        <v>40</v>
      </c>
      <c r="E398" s="39"/>
      <c r="F398" s="39"/>
      <c r="G398" s="39"/>
      <c r="H398" s="39"/>
      <c r="I398" s="13">
        <f aca="true" t="shared" si="29" ref="I398:I458">H398-G398</f>
        <v>0</v>
      </c>
      <c r="J398" s="13"/>
      <c r="K398" s="13"/>
      <c r="L398" s="13">
        <f t="shared" si="25"/>
        <v>0</v>
      </c>
      <c r="M398" s="13" t="e">
        <f>H398/E398*100</f>
        <v>#DIV/0!</v>
      </c>
    </row>
    <row r="399" spans="1:13" s="28" customFormat="1" ht="15.75">
      <c r="A399" s="134"/>
      <c r="B399" s="134"/>
      <c r="C399" s="18" t="s">
        <v>41</v>
      </c>
      <c r="D399" s="20" t="s">
        <v>42</v>
      </c>
      <c r="E399" s="39"/>
      <c r="F399" s="39"/>
      <c r="G399" s="39"/>
      <c r="H399" s="39">
        <v>7.82</v>
      </c>
      <c r="I399" s="13">
        <f t="shared" si="29"/>
        <v>7.82</v>
      </c>
      <c r="J399" s="13"/>
      <c r="K399" s="13"/>
      <c r="L399" s="13">
        <f t="shared" si="25"/>
        <v>7.82</v>
      </c>
      <c r="M399" s="13"/>
    </row>
    <row r="400" spans="1:13" s="28" customFormat="1" ht="15.75">
      <c r="A400" s="134"/>
      <c r="B400" s="134"/>
      <c r="C400" s="18"/>
      <c r="D400" s="26" t="s">
        <v>52</v>
      </c>
      <c r="E400" s="40">
        <f>SUM(E395,E396,E399)</f>
        <v>0</v>
      </c>
      <c r="F400" s="40">
        <f>SUM(F395,F396,F399)</f>
        <v>0</v>
      </c>
      <c r="G400" s="40">
        <f>SUM(G395,G396,G399)</f>
        <v>0</v>
      </c>
      <c r="H400" s="40">
        <f>SUM(H395,H396,H399)</f>
        <v>7.82</v>
      </c>
      <c r="I400" s="13">
        <f t="shared" si="29"/>
        <v>7.82</v>
      </c>
      <c r="J400" s="13"/>
      <c r="K400" s="27"/>
      <c r="L400" s="13">
        <f t="shared" si="25"/>
        <v>7.82</v>
      </c>
      <c r="M400" s="13"/>
    </row>
    <row r="401" spans="1:13" s="28" customFormat="1" ht="15.75" customHeight="1" hidden="1">
      <c r="A401" s="134"/>
      <c r="B401" s="134"/>
      <c r="C401" s="18" t="s">
        <v>35</v>
      </c>
      <c r="D401" s="20" t="s">
        <v>36</v>
      </c>
      <c r="E401" s="39">
        <f>E402</f>
        <v>0</v>
      </c>
      <c r="F401" s="39">
        <f>F402</f>
        <v>0</v>
      </c>
      <c r="G401" s="39">
        <f>G402</f>
        <v>0</v>
      </c>
      <c r="H401" s="39">
        <f>H402</f>
        <v>0</v>
      </c>
      <c r="I401" s="13">
        <f t="shared" si="29"/>
        <v>0</v>
      </c>
      <c r="J401" s="13"/>
      <c r="K401" s="13"/>
      <c r="L401" s="13">
        <f aca="true" t="shared" si="30" ref="L401:L458">H401-E401</f>
        <v>0</v>
      </c>
      <c r="M401" s="13"/>
    </row>
    <row r="402" spans="1:13" s="28" customFormat="1" ht="63" hidden="1">
      <c r="A402" s="134"/>
      <c r="B402" s="134"/>
      <c r="C402" s="18" t="s">
        <v>75</v>
      </c>
      <c r="D402" s="24" t="s">
        <v>76</v>
      </c>
      <c r="E402" s="39"/>
      <c r="F402" s="39"/>
      <c r="G402" s="39"/>
      <c r="H402" s="39"/>
      <c r="I402" s="13">
        <f t="shared" si="29"/>
        <v>0</v>
      </c>
      <c r="J402" s="13"/>
      <c r="K402" s="13"/>
      <c r="L402" s="13">
        <f t="shared" si="30"/>
        <v>0</v>
      </c>
      <c r="M402" s="13"/>
    </row>
    <row r="403" spans="1:13" s="28" customFormat="1" ht="16.5" customHeight="1" hidden="1">
      <c r="A403" s="134"/>
      <c r="B403" s="134"/>
      <c r="C403" s="36"/>
      <c r="D403" s="26" t="s">
        <v>55</v>
      </c>
      <c r="E403" s="40">
        <f>E401</f>
        <v>0</v>
      </c>
      <c r="F403" s="40">
        <f>F401</f>
        <v>0</v>
      </c>
      <c r="G403" s="40">
        <f>G401</f>
        <v>0</v>
      </c>
      <c r="H403" s="40">
        <f>H401</f>
        <v>0</v>
      </c>
      <c r="I403" s="13">
        <f t="shared" si="29"/>
        <v>0</v>
      </c>
      <c r="J403" s="13"/>
      <c r="K403" s="27"/>
      <c r="L403" s="13">
        <f t="shared" si="30"/>
        <v>0</v>
      </c>
      <c r="M403" s="13"/>
    </row>
    <row r="404" spans="1:85" s="33" customFormat="1" ht="18" customHeight="1">
      <c r="A404" s="136"/>
      <c r="B404" s="136"/>
      <c r="C404" s="30"/>
      <c r="D404" s="26" t="s">
        <v>77</v>
      </c>
      <c r="E404" s="40">
        <f>E400+E403</f>
        <v>0</v>
      </c>
      <c r="F404" s="40">
        <f>F400+F403</f>
        <v>0</v>
      </c>
      <c r="G404" s="40">
        <f>G400+G403</f>
        <v>0</v>
      </c>
      <c r="H404" s="40">
        <f>H400+H403</f>
        <v>7.82</v>
      </c>
      <c r="I404" s="27">
        <f t="shared" si="29"/>
        <v>7.82</v>
      </c>
      <c r="J404" s="27"/>
      <c r="K404" s="27"/>
      <c r="L404" s="27">
        <f t="shared" si="30"/>
        <v>7.82</v>
      </c>
      <c r="M404" s="27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</row>
    <row r="405" spans="1:13" s="28" customFormat="1" ht="18" customHeight="1" hidden="1">
      <c r="A405" s="130">
        <v>978</v>
      </c>
      <c r="B405" s="130" t="s">
        <v>180</v>
      </c>
      <c r="C405" s="18" t="s">
        <v>43</v>
      </c>
      <c r="D405" s="20" t="s">
        <v>181</v>
      </c>
      <c r="E405" s="39"/>
      <c r="F405" s="39"/>
      <c r="G405" s="39"/>
      <c r="H405" s="39"/>
      <c r="I405" s="13">
        <f t="shared" si="29"/>
        <v>0</v>
      </c>
      <c r="J405" s="13"/>
      <c r="K405" s="13"/>
      <c r="L405" s="13">
        <f t="shared" si="30"/>
        <v>0</v>
      </c>
      <c r="M405" s="13"/>
    </row>
    <row r="406" spans="1:85" s="33" customFormat="1" ht="27.75" customHeight="1" hidden="1">
      <c r="A406" s="136"/>
      <c r="B406" s="136"/>
      <c r="C406" s="30"/>
      <c r="D406" s="26" t="s">
        <v>77</v>
      </c>
      <c r="E406" s="40">
        <f>E405</f>
        <v>0</v>
      </c>
      <c r="F406" s="40">
        <f>F405</f>
        <v>0</v>
      </c>
      <c r="G406" s="40">
        <f>G405</f>
        <v>0</v>
      </c>
      <c r="H406" s="40">
        <f>H405</f>
        <v>0</v>
      </c>
      <c r="I406" s="13">
        <f t="shared" si="29"/>
        <v>0</v>
      </c>
      <c r="J406" s="13"/>
      <c r="K406" s="27"/>
      <c r="L406" s="13">
        <f t="shared" si="30"/>
        <v>0</v>
      </c>
      <c r="M406" s="13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</row>
    <row r="407" spans="1:13" s="28" customFormat="1" ht="18" customHeight="1" hidden="1">
      <c r="A407" s="130">
        <v>985</v>
      </c>
      <c r="B407" s="130" t="s">
        <v>182</v>
      </c>
      <c r="C407" s="18" t="s">
        <v>27</v>
      </c>
      <c r="D407" s="22" t="s">
        <v>28</v>
      </c>
      <c r="E407" s="39"/>
      <c r="F407" s="39"/>
      <c r="G407" s="39"/>
      <c r="H407" s="39"/>
      <c r="I407" s="13">
        <f t="shared" si="29"/>
        <v>0</v>
      </c>
      <c r="J407" s="13"/>
      <c r="K407" s="13"/>
      <c r="L407" s="13">
        <f t="shared" si="30"/>
        <v>0</v>
      </c>
      <c r="M407" s="13"/>
    </row>
    <row r="408" spans="1:13" s="28" customFormat="1" ht="18" customHeight="1" hidden="1">
      <c r="A408" s="134"/>
      <c r="B408" s="134"/>
      <c r="C408" s="18" t="s">
        <v>41</v>
      </c>
      <c r="D408" s="20" t="s">
        <v>42</v>
      </c>
      <c r="E408" s="39"/>
      <c r="F408" s="39"/>
      <c r="G408" s="39"/>
      <c r="H408" s="39"/>
      <c r="I408" s="13">
        <f t="shared" si="29"/>
        <v>0</v>
      </c>
      <c r="J408" s="13"/>
      <c r="K408" s="13"/>
      <c r="L408" s="13">
        <f t="shared" si="30"/>
        <v>0</v>
      </c>
      <c r="M408" s="13"/>
    </row>
    <row r="409" spans="1:13" s="28" customFormat="1" ht="31.5" customHeight="1">
      <c r="A409" s="134"/>
      <c r="B409" s="134"/>
      <c r="C409" s="18" t="s">
        <v>49</v>
      </c>
      <c r="D409" s="20" t="s">
        <v>50</v>
      </c>
      <c r="E409" s="39"/>
      <c r="F409" s="39">
        <v>150</v>
      </c>
      <c r="G409" s="39"/>
      <c r="H409" s="39"/>
      <c r="I409" s="13">
        <f t="shared" si="29"/>
        <v>0</v>
      </c>
      <c r="J409" s="13"/>
      <c r="K409" s="13">
        <f>H409/F409*100</f>
        <v>0</v>
      </c>
      <c r="L409" s="13">
        <f t="shared" si="30"/>
        <v>0</v>
      </c>
      <c r="M409" s="13"/>
    </row>
    <row r="410" spans="1:85" s="33" customFormat="1" ht="15.75">
      <c r="A410" s="136"/>
      <c r="B410" s="136"/>
      <c r="C410" s="30"/>
      <c r="D410" s="26" t="s">
        <v>77</v>
      </c>
      <c r="E410" s="40">
        <f>E407+E408+E409</f>
        <v>0</v>
      </c>
      <c r="F410" s="40">
        <f>F407+F408+F409</f>
        <v>150</v>
      </c>
      <c r="G410" s="40">
        <f>G407+G408+G409</f>
        <v>0</v>
      </c>
      <c r="H410" s="40">
        <f>H407+H408+H409</f>
        <v>0</v>
      </c>
      <c r="I410" s="27">
        <f t="shared" si="29"/>
        <v>0</v>
      </c>
      <c r="J410" s="27"/>
      <c r="K410" s="27">
        <f>H410/F410*100</f>
        <v>0</v>
      </c>
      <c r="L410" s="27">
        <f t="shared" si="30"/>
        <v>0</v>
      </c>
      <c r="M410" s="27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</row>
    <row r="411" spans="1:13" s="28" customFormat="1" ht="97.5" customHeight="1">
      <c r="A411" s="128" t="s">
        <v>183</v>
      </c>
      <c r="B411" s="130" t="s">
        <v>184</v>
      </c>
      <c r="C411" s="16" t="s">
        <v>25</v>
      </c>
      <c r="D411" s="21" t="s">
        <v>128</v>
      </c>
      <c r="E411" s="39">
        <v>3843.2</v>
      </c>
      <c r="F411" s="39">
        <v>43279.1</v>
      </c>
      <c r="G411" s="39">
        <v>3624.14</v>
      </c>
      <c r="H411" s="39">
        <v>2817.72</v>
      </c>
      <c r="I411" s="13">
        <f t="shared" si="29"/>
        <v>-806.4200000000001</v>
      </c>
      <c r="J411" s="13">
        <f>H411/G411*100</f>
        <v>77.74865209401402</v>
      </c>
      <c r="K411" s="13">
        <f>H411/F411*100</f>
        <v>6.510579009267753</v>
      </c>
      <c r="L411" s="13">
        <f t="shared" si="30"/>
        <v>-1025.48</v>
      </c>
      <c r="M411" s="13">
        <f>H411/E411*100</f>
        <v>73.31702747710241</v>
      </c>
    </row>
    <row r="412" spans="1:13" s="28" customFormat="1" ht="31.5" hidden="1">
      <c r="A412" s="132"/>
      <c r="B412" s="134"/>
      <c r="C412" s="18" t="s">
        <v>27</v>
      </c>
      <c r="D412" s="22" t="s">
        <v>28</v>
      </c>
      <c r="E412" s="39"/>
      <c r="F412" s="39"/>
      <c r="G412" s="39"/>
      <c r="H412" s="39"/>
      <c r="I412" s="13">
        <f t="shared" si="29"/>
        <v>0</v>
      </c>
      <c r="J412" s="13"/>
      <c r="K412" s="13"/>
      <c r="L412" s="13">
        <f t="shared" si="30"/>
        <v>0</v>
      </c>
      <c r="M412" s="13"/>
    </row>
    <row r="413" spans="1:13" s="28" customFormat="1" ht="15.75" customHeight="1">
      <c r="A413" s="133"/>
      <c r="B413" s="133"/>
      <c r="C413" s="18" t="s">
        <v>113</v>
      </c>
      <c r="D413" s="20" t="s">
        <v>114</v>
      </c>
      <c r="E413" s="39"/>
      <c r="F413" s="39">
        <v>389.3</v>
      </c>
      <c r="G413" s="39"/>
      <c r="H413" s="39">
        <v>65.75</v>
      </c>
      <c r="I413" s="13">
        <f t="shared" si="29"/>
        <v>65.75</v>
      </c>
      <c r="J413" s="13"/>
      <c r="K413" s="13">
        <f>H413/F413*100</f>
        <v>16.889288466478295</v>
      </c>
      <c r="L413" s="13">
        <f t="shared" si="30"/>
        <v>65.75</v>
      </c>
      <c r="M413" s="13"/>
    </row>
    <row r="414" spans="1:13" s="28" customFormat="1" ht="15.75" customHeight="1" hidden="1">
      <c r="A414" s="133"/>
      <c r="B414" s="133"/>
      <c r="C414" s="18" t="s">
        <v>35</v>
      </c>
      <c r="D414" s="20" t="s">
        <v>36</v>
      </c>
      <c r="E414" s="39">
        <f>E415</f>
        <v>0</v>
      </c>
      <c r="F414" s="39">
        <f>F415</f>
        <v>0</v>
      </c>
      <c r="G414" s="39">
        <f>G415</f>
        <v>0</v>
      </c>
      <c r="H414" s="39">
        <f>H415</f>
        <v>0</v>
      </c>
      <c r="I414" s="13">
        <f t="shared" si="29"/>
        <v>0</v>
      </c>
      <c r="J414" s="13"/>
      <c r="K414" s="13"/>
      <c r="L414" s="13">
        <f t="shared" si="30"/>
        <v>0</v>
      </c>
      <c r="M414" s="13"/>
    </row>
    <row r="415" spans="1:13" s="28" customFormat="1" ht="15.75" customHeight="1" hidden="1">
      <c r="A415" s="133"/>
      <c r="B415" s="133"/>
      <c r="C415" s="16" t="s">
        <v>39</v>
      </c>
      <c r="D415" s="21" t="s">
        <v>40</v>
      </c>
      <c r="E415" s="39"/>
      <c r="F415" s="39"/>
      <c r="G415" s="39"/>
      <c r="H415" s="39"/>
      <c r="I415" s="13">
        <f t="shared" si="29"/>
        <v>0</v>
      </c>
      <c r="J415" s="13"/>
      <c r="K415" s="13"/>
      <c r="L415" s="13">
        <f t="shared" si="30"/>
        <v>0</v>
      </c>
      <c r="M415" s="13"/>
    </row>
    <row r="416" spans="1:13" s="28" customFormat="1" ht="15.75" customHeight="1" hidden="1">
      <c r="A416" s="133"/>
      <c r="B416" s="133"/>
      <c r="C416" s="18" t="s">
        <v>41</v>
      </c>
      <c r="D416" s="20" t="s">
        <v>42</v>
      </c>
      <c r="E416" s="39"/>
      <c r="F416" s="39"/>
      <c r="G416" s="39"/>
      <c r="H416" s="39"/>
      <c r="I416" s="13">
        <f t="shared" si="29"/>
        <v>0</v>
      </c>
      <c r="J416" s="13"/>
      <c r="K416" s="13"/>
      <c r="L416" s="13">
        <f t="shared" si="30"/>
        <v>0</v>
      </c>
      <c r="M416" s="13"/>
    </row>
    <row r="417" spans="1:13" s="28" customFormat="1" ht="15.75" customHeight="1" hidden="1">
      <c r="A417" s="133"/>
      <c r="B417" s="133"/>
      <c r="C417" s="18" t="s">
        <v>45</v>
      </c>
      <c r="D417" s="20" t="s">
        <v>46</v>
      </c>
      <c r="E417" s="48"/>
      <c r="F417" s="39"/>
      <c r="G417" s="39"/>
      <c r="H417" s="39"/>
      <c r="I417" s="13">
        <f t="shared" si="29"/>
        <v>0</v>
      </c>
      <c r="J417" s="13"/>
      <c r="K417" s="13"/>
      <c r="L417" s="13">
        <f t="shared" si="30"/>
        <v>0</v>
      </c>
      <c r="M417" s="13">
        <f>H417/E421*100</f>
        <v>0</v>
      </c>
    </row>
    <row r="418" spans="1:13" s="28" customFormat="1" ht="15.75">
      <c r="A418" s="133"/>
      <c r="B418" s="133"/>
      <c r="C418" s="18" t="s">
        <v>47</v>
      </c>
      <c r="D418" s="20" t="s">
        <v>48</v>
      </c>
      <c r="E418" s="13"/>
      <c r="F418" s="13">
        <v>54758.47</v>
      </c>
      <c r="G418" s="13"/>
      <c r="H418" s="13"/>
      <c r="I418" s="13">
        <f t="shared" si="29"/>
        <v>0</v>
      </c>
      <c r="J418" s="13"/>
      <c r="K418" s="13"/>
      <c r="L418" s="13">
        <f t="shared" si="30"/>
        <v>0</v>
      </c>
      <c r="M418" s="13"/>
    </row>
    <row r="419" spans="1:13" s="28" customFormat="1" ht="15.75" customHeight="1">
      <c r="A419" s="133"/>
      <c r="B419" s="133"/>
      <c r="C419" s="18" t="s">
        <v>49</v>
      </c>
      <c r="D419" s="20" t="s">
        <v>50</v>
      </c>
      <c r="E419" s="13"/>
      <c r="F419" s="39">
        <f>18.3+30+25048.8</f>
        <v>25097.1</v>
      </c>
      <c r="G419" s="39"/>
      <c r="H419" s="39"/>
      <c r="I419" s="13">
        <f t="shared" si="29"/>
        <v>0</v>
      </c>
      <c r="J419" s="13"/>
      <c r="K419" s="13">
        <f>H419/F419*100</f>
        <v>0</v>
      </c>
      <c r="L419" s="13">
        <f t="shared" si="30"/>
        <v>0</v>
      </c>
      <c r="M419" s="13"/>
    </row>
    <row r="420" spans="1:13" s="28" customFormat="1" ht="15.75" customHeight="1">
      <c r="A420" s="133"/>
      <c r="B420" s="133"/>
      <c r="C420" s="18" t="s">
        <v>69</v>
      </c>
      <c r="D420" s="21" t="s">
        <v>70</v>
      </c>
      <c r="E420" s="39"/>
      <c r="F420" s="39"/>
      <c r="G420" s="39"/>
      <c r="H420" s="39"/>
      <c r="I420" s="13">
        <f t="shared" si="29"/>
        <v>0</v>
      </c>
      <c r="J420" s="13"/>
      <c r="K420" s="13"/>
      <c r="L420" s="13">
        <f t="shared" si="30"/>
        <v>0</v>
      </c>
      <c r="M420" s="13"/>
    </row>
    <row r="421" spans="1:13" s="28" customFormat="1" ht="15.75" customHeight="1">
      <c r="A421" s="133"/>
      <c r="B421" s="133"/>
      <c r="C421" s="18" t="s">
        <v>51</v>
      </c>
      <c r="D421" s="20" t="s">
        <v>46</v>
      </c>
      <c r="E421" s="39">
        <v>-33228.1</v>
      </c>
      <c r="F421" s="39"/>
      <c r="G421" s="39"/>
      <c r="H421" s="39">
        <v>-78244.06</v>
      </c>
      <c r="I421" s="13">
        <f t="shared" si="29"/>
        <v>-78244.06</v>
      </c>
      <c r="J421" s="13"/>
      <c r="K421" s="13"/>
      <c r="L421" s="13">
        <f t="shared" si="30"/>
        <v>-45015.96</v>
      </c>
      <c r="M421" s="13">
        <f>H421/E421*100</f>
        <v>235.475576394678</v>
      </c>
    </row>
    <row r="422" spans="1:13" s="28" customFormat="1" ht="47.25">
      <c r="A422" s="133"/>
      <c r="B422" s="133"/>
      <c r="C422" s="36"/>
      <c r="D422" s="26" t="s">
        <v>56</v>
      </c>
      <c r="E422" s="40">
        <f>E423-E421</f>
        <v>3843.2000000000007</v>
      </c>
      <c r="F422" s="40">
        <f>F423-F421</f>
        <v>123523.97</v>
      </c>
      <c r="G422" s="40">
        <f>G423-G421</f>
        <v>3624.14</v>
      </c>
      <c r="H422" s="40">
        <f>H423-H421</f>
        <v>2883.470000000001</v>
      </c>
      <c r="I422" s="13">
        <f t="shared" si="29"/>
        <v>-740.6699999999987</v>
      </c>
      <c r="J422" s="13">
        <f>H422/G422*100</f>
        <v>79.56287560635079</v>
      </c>
      <c r="K422" s="27">
        <f>H422/F422*100</f>
        <v>2.3343404523024973</v>
      </c>
      <c r="L422" s="13">
        <f t="shared" si="30"/>
        <v>-959.7299999999996</v>
      </c>
      <c r="M422" s="13">
        <f>H422/E422*100</f>
        <v>75.02784138218152</v>
      </c>
    </row>
    <row r="423" spans="1:85" s="33" customFormat="1" ht="15.75">
      <c r="A423" s="129"/>
      <c r="B423" s="129"/>
      <c r="C423" s="45"/>
      <c r="D423" s="26" t="s">
        <v>77</v>
      </c>
      <c r="E423" s="40">
        <f>SUM(E411:E414,E416:E421)</f>
        <v>-29384.899999999998</v>
      </c>
      <c r="F423" s="40">
        <f>SUM(F411:F414,F416:F421)</f>
        <v>123523.97</v>
      </c>
      <c r="G423" s="40">
        <f>SUM(G411:G414,G416:G421)</f>
        <v>3624.14</v>
      </c>
      <c r="H423" s="40">
        <f>SUM(H411:H414,H416:H421)</f>
        <v>-75360.59</v>
      </c>
      <c r="I423" s="27">
        <f t="shared" si="29"/>
        <v>-78984.73</v>
      </c>
      <c r="J423" s="27">
        <f>H423/G423*100</f>
        <v>-2079.4061487690874</v>
      </c>
      <c r="K423" s="27">
        <f>H423/F423*100</f>
        <v>-61.00887949116272</v>
      </c>
      <c r="L423" s="27">
        <f t="shared" si="30"/>
        <v>-45975.69</v>
      </c>
      <c r="M423" s="27">
        <f>H423/E423*100</f>
        <v>256.4602567985598</v>
      </c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</row>
    <row r="424" spans="1:13" ht="84" customHeight="1">
      <c r="A424" s="128" t="s">
        <v>185</v>
      </c>
      <c r="B424" s="130" t="s">
        <v>186</v>
      </c>
      <c r="C424" s="16" t="s">
        <v>19</v>
      </c>
      <c r="D424" s="17" t="s">
        <v>20</v>
      </c>
      <c r="E424" s="13">
        <v>7518.9</v>
      </c>
      <c r="F424" s="13">
        <v>405179.2</v>
      </c>
      <c r="G424" s="13">
        <v>6391.07</v>
      </c>
      <c r="H424" s="13">
        <v>13817.77</v>
      </c>
      <c r="I424" s="13">
        <f t="shared" si="29"/>
        <v>7426.700000000001</v>
      </c>
      <c r="J424" s="13">
        <f>H424/G424*100</f>
        <v>216.20432885260215</v>
      </c>
      <c r="K424" s="13">
        <f>H424/F424*100</f>
        <v>3.4102861153780846</v>
      </c>
      <c r="L424" s="13">
        <f t="shared" si="30"/>
        <v>6298.870000000001</v>
      </c>
      <c r="M424" s="13">
        <f>H424/E424*100</f>
        <v>183.7738232986208</v>
      </c>
    </row>
    <row r="425" spans="1:13" ht="31.5">
      <c r="A425" s="132"/>
      <c r="B425" s="134"/>
      <c r="C425" s="18" t="s">
        <v>187</v>
      </c>
      <c r="D425" s="20" t="s">
        <v>188</v>
      </c>
      <c r="E425" s="13">
        <v>1.2</v>
      </c>
      <c r="F425" s="13">
        <v>37924.1</v>
      </c>
      <c r="G425" s="13"/>
      <c r="H425" s="13">
        <v>1236.24</v>
      </c>
      <c r="I425" s="13">
        <f t="shared" si="29"/>
        <v>1236.24</v>
      </c>
      <c r="J425" s="13"/>
      <c r="K425" s="13">
        <f>H425/F425*100</f>
        <v>3.2597741277973635</v>
      </c>
      <c r="L425" s="13">
        <f t="shared" si="30"/>
        <v>1235.04</v>
      </c>
      <c r="M425" s="13">
        <f>H425/E425*100</f>
        <v>103020</v>
      </c>
    </row>
    <row r="426" spans="1:13" ht="31.5" customHeight="1" hidden="1">
      <c r="A426" s="132"/>
      <c r="B426" s="134"/>
      <c r="C426" s="18" t="s">
        <v>27</v>
      </c>
      <c r="D426" s="22" t="s">
        <v>28</v>
      </c>
      <c r="E426" s="50"/>
      <c r="F426" s="13"/>
      <c r="G426" s="13"/>
      <c r="H426" s="13"/>
      <c r="I426" s="13">
        <f t="shared" si="29"/>
        <v>0</v>
      </c>
      <c r="J426" s="13"/>
      <c r="K426" s="13"/>
      <c r="L426" s="13">
        <f t="shared" si="30"/>
        <v>0</v>
      </c>
      <c r="M426" s="13"/>
    </row>
    <row r="427" spans="1:13" ht="64.5" customHeight="1">
      <c r="A427" s="132"/>
      <c r="B427" s="134"/>
      <c r="C427" s="16" t="s">
        <v>33</v>
      </c>
      <c r="D427" s="21" t="s">
        <v>34</v>
      </c>
      <c r="E427" s="13">
        <v>17572.3</v>
      </c>
      <c r="F427" s="13">
        <v>194210.3</v>
      </c>
      <c r="G427" s="13">
        <v>14478.31</v>
      </c>
      <c r="H427" s="13">
        <v>7194.39</v>
      </c>
      <c r="I427" s="13">
        <f t="shared" si="29"/>
        <v>-7283.919999999999</v>
      </c>
      <c r="J427" s="13">
        <f>H427/G427*100</f>
        <v>49.69081336150421</v>
      </c>
      <c r="K427" s="13">
        <f>H427/F427*100</f>
        <v>3.7044327721032304</v>
      </c>
      <c r="L427" s="13">
        <f t="shared" si="30"/>
        <v>-10377.91</v>
      </c>
      <c r="M427" s="13">
        <f>H427/E427*100</f>
        <v>40.94165248715308</v>
      </c>
    </row>
    <row r="428" spans="1:13" ht="15.75">
      <c r="A428" s="132"/>
      <c r="B428" s="134"/>
      <c r="C428" s="18" t="s">
        <v>41</v>
      </c>
      <c r="D428" s="20" t="s">
        <v>42</v>
      </c>
      <c r="E428" s="13">
        <v>-659.5</v>
      </c>
      <c r="F428" s="13"/>
      <c r="G428" s="13"/>
      <c r="H428" s="13">
        <v>101.54</v>
      </c>
      <c r="I428" s="13">
        <f t="shared" si="29"/>
        <v>101.54</v>
      </c>
      <c r="J428" s="13"/>
      <c r="K428" s="13"/>
      <c r="L428" s="13">
        <f t="shared" si="30"/>
        <v>761.04</v>
      </c>
      <c r="M428" s="13">
        <f>H428/E428*100</f>
        <v>-15.396512509476878</v>
      </c>
    </row>
    <row r="429" spans="1:13" ht="15.75" customHeight="1" hidden="1">
      <c r="A429" s="132"/>
      <c r="B429" s="134"/>
      <c r="C429" s="18" t="s">
        <v>43</v>
      </c>
      <c r="D429" s="20" t="s">
        <v>181</v>
      </c>
      <c r="E429" s="13"/>
      <c r="F429" s="13"/>
      <c r="G429" s="13"/>
      <c r="H429" s="13"/>
      <c r="I429" s="13">
        <f t="shared" si="29"/>
        <v>0</v>
      </c>
      <c r="J429" s="13"/>
      <c r="K429" s="13"/>
      <c r="L429" s="13">
        <f t="shared" si="30"/>
        <v>0</v>
      </c>
      <c r="M429" s="13"/>
    </row>
    <row r="430" spans="1:13" ht="31.5">
      <c r="A430" s="132"/>
      <c r="B430" s="134"/>
      <c r="C430" s="18" t="s">
        <v>49</v>
      </c>
      <c r="D430" s="20" t="s">
        <v>50</v>
      </c>
      <c r="E430" s="13"/>
      <c r="F430" s="13">
        <v>35</v>
      </c>
      <c r="G430" s="13"/>
      <c r="H430" s="13"/>
      <c r="I430" s="13">
        <f t="shared" si="29"/>
        <v>0</v>
      </c>
      <c r="J430" s="13"/>
      <c r="K430" s="13">
        <f>H430/F430*100</f>
        <v>0</v>
      </c>
      <c r="L430" s="13">
        <f t="shared" si="30"/>
        <v>0</v>
      </c>
      <c r="M430" s="13"/>
    </row>
    <row r="431" spans="1:13" s="28" customFormat="1" ht="15.75">
      <c r="A431" s="132"/>
      <c r="B431" s="134"/>
      <c r="C431" s="25"/>
      <c r="D431" s="26" t="s">
        <v>52</v>
      </c>
      <c r="E431" s="40">
        <f>SUM(E424:E430)</f>
        <v>24432.899999999998</v>
      </c>
      <c r="F431" s="40">
        <f>SUM(F424:F430)</f>
        <v>637348.6</v>
      </c>
      <c r="G431" s="40">
        <f>SUM(G424:G430)</f>
        <v>20869.379999999997</v>
      </c>
      <c r="H431" s="40">
        <f>SUM(H424:H430)</f>
        <v>22349.940000000002</v>
      </c>
      <c r="I431" s="13">
        <f t="shared" si="29"/>
        <v>1480.560000000005</v>
      </c>
      <c r="J431" s="13">
        <f>H431/G431*100</f>
        <v>107.09441296291506</v>
      </c>
      <c r="K431" s="27">
        <f>H431/F431*100</f>
        <v>3.5067057494124887</v>
      </c>
      <c r="L431" s="13">
        <f t="shared" si="30"/>
        <v>-2082.9599999999955</v>
      </c>
      <c r="M431" s="13">
        <f>H431/E431*100</f>
        <v>91.4747737681569</v>
      </c>
    </row>
    <row r="432" spans="1:13" ht="15.75" customHeight="1">
      <c r="A432" s="132"/>
      <c r="B432" s="134"/>
      <c r="C432" s="18" t="s">
        <v>189</v>
      </c>
      <c r="D432" s="20" t="s">
        <v>190</v>
      </c>
      <c r="E432" s="13">
        <v>7366.4</v>
      </c>
      <c r="F432" s="13">
        <v>53346</v>
      </c>
      <c r="G432" s="13">
        <v>6166.7</v>
      </c>
      <c r="H432" s="13">
        <v>8622.21</v>
      </c>
      <c r="I432" s="13">
        <f t="shared" si="29"/>
        <v>2455.5099999999993</v>
      </c>
      <c r="J432" s="13">
        <f>H432/G432*100</f>
        <v>139.8188658439684</v>
      </c>
      <c r="K432" s="13">
        <f>H432/F432*100</f>
        <v>16.1628050837926</v>
      </c>
      <c r="L432" s="13">
        <f t="shared" si="30"/>
        <v>1255.8099999999995</v>
      </c>
      <c r="M432" s="13">
        <f>H432/E432*100</f>
        <v>117.04781168549087</v>
      </c>
    </row>
    <row r="433" spans="1:13" ht="15.75">
      <c r="A433" s="132"/>
      <c r="B433" s="134"/>
      <c r="C433" s="18" t="s">
        <v>191</v>
      </c>
      <c r="D433" s="20" t="s">
        <v>192</v>
      </c>
      <c r="E433" s="13">
        <v>205566.6</v>
      </c>
      <c r="F433" s="13">
        <f>89234.5+3315250.5</f>
        <v>3404485</v>
      </c>
      <c r="G433" s="13">
        <f>7092.2+279605.8</f>
        <v>286698</v>
      </c>
      <c r="H433" s="13">
        <f>7668.64+310323.15</f>
        <v>317991.79000000004</v>
      </c>
      <c r="I433" s="13">
        <f t="shared" si="29"/>
        <v>31293.790000000037</v>
      </c>
      <c r="J433" s="13">
        <f>H433/G433*100</f>
        <v>110.91524531039632</v>
      </c>
      <c r="K433" s="13">
        <f>H433/F433*100</f>
        <v>9.340378647578122</v>
      </c>
      <c r="L433" s="13">
        <f t="shared" si="30"/>
        <v>112425.19000000003</v>
      </c>
      <c r="M433" s="13">
        <f>H433/E433*100</f>
        <v>154.69039717541665</v>
      </c>
    </row>
    <row r="434" spans="1:13" ht="15.75">
      <c r="A434" s="132"/>
      <c r="B434" s="134"/>
      <c r="C434" s="18" t="s">
        <v>73</v>
      </c>
      <c r="D434" s="29" t="s">
        <v>74</v>
      </c>
      <c r="E434" s="39">
        <v>6.2</v>
      </c>
      <c r="F434" s="13"/>
      <c r="G434" s="13"/>
      <c r="H434" s="13"/>
      <c r="I434" s="13">
        <f t="shared" si="29"/>
        <v>0</v>
      </c>
      <c r="J434" s="13"/>
      <c r="K434" s="13"/>
      <c r="L434" s="13">
        <f t="shared" si="30"/>
        <v>-6.2</v>
      </c>
      <c r="M434" s="13"/>
    </row>
    <row r="435" spans="1:13" ht="85.5" customHeight="1">
      <c r="A435" s="132"/>
      <c r="B435" s="134"/>
      <c r="C435" s="16" t="s">
        <v>19</v>
      </c>
      <c r="D435" s="17" t="s">
        <v>20</v>
      </c>
      <c r="E435" s="39"/>
      <c r="F435" s="13"/>
      <c r="G435" s="13"/>
      <c r="H435" s="13">
        <v>720</v>
      </c>
      <c r="I435" s="13">
        <f t="shared" si="29"/>
        <v>720</v>
      </c>
      <c r="J435" s="13"/>
      <c r="K435" s="13"/>
      <c r="L435" s="13">
        <f t="shared" si="30"/>
        <v>720</v>
      </c>
      <c r="M435" s="13"/>
    </row>
    <row r="436" spans="1:13" ht="15.75" customHeight="1">
      <c r="A436" s="132"/>
      <c r="B436" s="134"/>
      <c r="C436" s="18" t="s">
        <v>35</v>
      </c>
      <c r="D436" s="20" t="s">
        <v>36</v>
      </c>
      <c r="E436" s="13">
        <f>E437</f>
        <v>19.6</v>
      </c>
      <c r="F436" s="13">
        <f>F437</f>
        <v>729</v>
      </c>
      <c r="G436" s="13">
        <f>G437</f>
        <v>23.8</v>
      </c>
      <c r="H436" s="13">
        <f>H437</f>
        <v>18.9</v>
      </c>
      <c r="I436" s="13">
        <f t="shared" si="29"/>
        <v>-4.900000000000002</v>
      </c>
      <c r="J436" s="13">
        <f>H436/G436*100</f>
        <v>79.41176470588235</v>
      </c>
      <c r="K436" s="13">
        <f>H436/F436*100</f>
        <v>2.5925925925925926</v>
      </c>
      <c r="L436" s="13">
        <f t="shared" si="30"/>
        <v>-0.7000000000000028</v>
      </c>
      <c r="M436" s="13">
        <f>H436/E436*100</f>
        <v>96.42857142857142</v>
      </c>
    </row>
    <row r="437" spans="1:13" ht="31.5" customHeight="1" hidden="1">
      <c r="A437" s="132"/>
      <c r="B437" s="134"/>
      <c r="C437" s="16" t="s">
        <v>193</v>
      </c>
      <c r="D437" s="21" t="s">
        <v>194</v>
      </c>
      <c r="E437" s="13">
        <v>19.6</v>
      </c>
      <c r="F437" s="13">
        <v>729</v>
      </c>
      <c r="G437" s="13">
        <v>23.8</v>
      </c>
      <c r="H437" s="13">
        <v>18.9</v>
      </c>
      <c r="I437" s="13">
        <f t="shared" si="29"/>
        <v>-4.900000000000002</v>
      </c>
      <c r="J437" s="13">
        <f>H437/G437*100</f>
        <v>79.41176470588235</v>
      </c>
      <c r="K437" s="13">
        <f>H437/F437*100</f>
        <v>2.5925925925925926</v>
      </c>
      <c r="L437" s="13">
        <f t="shared" si="30"/>
        <v>-0.7000000000000028</v>
      </c>
      <c r="M437" s="13">
        <f>H437/E437*100</f>
        <v>96.42857142857142</v>
      </c>
    </row>
    <row r="438" spans="1:13" s="28" customFormat="1" ht="15.75" customHeight="1">
      <c r="A438" s="132"/>
      <c r="B438" s="134"/>
      <c r="C438" s="25"/>
      <c r="D438" s="26" t="s">
        <v>55</v>
      </c>
      <c r="E438" s="40">
        <f>SUM(E432:E436)</f>
        <v>212958.80000000002</v>
      </c>
      <c r="F438" s="40">
        <f>SUM(F432:F436)</f>
        <v>3458560</v>
      </c>
      <c r="G438" s="40">
        <f>SUM(G432:G436)</f>
        <v>292888.5</v>
      </c>
      <c r="H438" s="40">
        <f>SUM(H432:H436)</f>
        <v>327352.9000000001</v>
      </c>
      <c r="I438" s="13">
        <f t="shared" si="29"/>
        <v>34464.40000000008</v>
      </c>
      <c r="J438" s="13">
        <f>H438/G438*100</f>
        <v>111.7670717696325</v>
      </c>
      <c r="K438" s="27">
        <f>H438/F438*100</f>
        <v>9.465005667098447</v>
      </c>
      <c r="L438" s="13">
        <f t="shared" si="30"/>
        <v>114394.10000000006</v>
      </c>
      <c r="M438" s="13">
        <f>H438/E438*100</f>
        <v>153.71654047637386</v>
      </c>
    </row>
    <row r="439" spans="1:85" s="33" customFormat="1" ht="15.75">
      <c r="A439" s="135"/>
      <c r="B439" s="136"/>
      <c r="C439" s="30"/>
      <c r="D439" s="26" t="s">
        <v>77</v>
      </c>
      <c r="E439" s="40">
        <f>E431+E438</f>
        <v>237391.7</v>
      </c>
      <c r="F439" s="40">
        <f>F431+F438</f>
        <v>4095908.6</v>
      </c>
      <c r="G439" s="40">
        <f>G431+G438</f>
        <v>313757.88</v>
      </c>
      <c r="H439" s="40">
        <f>H431+H438</f>
        <v>349702.8400000001</v>
      </c>
      <c r="I439" s="27">
        <f t="shared" si="29"/>
        <v>35944.96000000008</v>
      </c>
      <c r="J439" s="27">
        <f>H439/G439*100</f>
        <v>111.45627322571153</v>
      </c>
      <c r="K439" s="27">
        <f>H439/F439*100</f>
        <v>8.537857509808692</v>
      </c>
      <c r="L439" s="27">
        <f t="shared" si="30"/>
        <v>112311.14000000007</v>
      </c>
      <c r="M439" s="27">
        <f>H439/E439*100</f>
        <v>147.31047462906247</v>
      </c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</row>
    <row r="440" spans="1:13" s="28" customFormat="1" ht="15.75" customHeight="1" hidden="1">
      <c r="A440" s="130"/>
      <c r="B440" s="130" t="s">
        <v>195</v>
      </c>
      <c r="C440" s="18" t="s">
        <v>73</v>
      </c>
      <c r="D440" s="29" t="s">
        <v>74</v>
      </c>
      <c r="E440" s="39"/>
      <c r="F440" s="40"/>
      <c r="G440" s="40"/>
      <c r="H440" s="39"/>
      <c r="I440" s="13">
        <f t="shared" si="29"/>
        <v>0</v>
      </c>
      <c r="J440" s="13"/>
      <c r="K440" s="13"/>
      <c r="L440" s="13">
        <f t="shared" si="30"/>
        <v>0</v>
      </c>
      <c r="M440" s="13"/>
    </row>
    <row r="441" spans="1:13" s="28" customFormat="1" ht="80.25" customHeight="1" hidden="1">
      <c r="A441" s="134"/>
      <c r="B441" s="134"/>
      <c r="C441" s="37" t="s">
        <v>196</v>
      </c>
      <c r="D441" s="38" t="s">
        <v>197</v>
      </c>
      <c r="E441" s="13"/>
      <c r="F441" s="13"/>
      <c r="G441" s="13"/>
      <c r="H441" s="13"/>
      <c r="I441" s="13">
        <f t="shared" si="29"/>
        <v>0</v>
      </c>
      <c r="J441" s="13"/>
      <c r="K441" s="13"/>
      <c r="L441" s="13">
        <f t="shared" si="30"/>
        <v>0</v>
      </c>
      <c r="M441" s="13"/>
    </row>
    <row r="442" spans="1:13" s="28" customFormat="1" ht="78.75" customHeight="1" hidden="1">
      <c r="A442" s="134"/>
      <c r="B442" s="134"/>
      <c r="C442" s="53" t="s">
        <v>198</v>
      </c>
      <c r="D442" s="38" t="s">
        <v>199</v>
      </c>
      <c r="E442" s="13"/>
      <c r="F442" s="13"/>
      <c r="G442" s="13"/>
      <c r="H442" s="13"/>
      <c r="I442" s="13">
        <f t="shared" si="29"/>
        <v>0</v>
      </c>
      <c r="J442" s="13"/>
      <c r="K442" s="13"/>
      <c r="L442" s="13">
        <f t="shared" si="30"/>
        <v>0</v>
      </c>
      <c r="M442" s="13"/>
    </row>
    <row r="443" spans="1:13" ht="15.75" customHeight="1" hidden="1">
      <c r="A443" s="133"/>
      <c r="B443" s="133"/>
      <c r="C443" s="18" t="s">
        <v>35</v>
      </c>
      <c r="D443" s="20" t="s">
        <v>36</v>
      </c>
      <c r="E443" s="13">
        <f>SUM(E444:E444)</f>
        <v>0</v>
      </c>
      <c r="F443" s="13">
        <f>SUM(F444:F444)</f>
        <v>0</v>
      </c>
      <c r="G443" s="13">
        <f>SUM(G444:G444)</f>
        <v>0</v>
      </c>
      <c r="H443" s="13">
        <f>SUM(H444:H444)</f>
        <v>0</v>
      </c>
      <c r="I443" s="13">
        <f t="shared" si="29"/>
        <v>0</v>
      </c>
      <c r="J443" s="13"/>
      <c r="K443" s="13"/>
      <c r="L443" s="13">
        <f t="shared" si="30"/>
        <v>0</v>
      </c>
      <c r="M443" s="13"/>
    </row>
    <row r="444" spans="1:13" ht="63" customHeight="1" hidden="1">
      <c r="A444" s="133"/>
      <c r="B444" s="133"/>
      <c r="C444" s="18" t="s">
        <v>75</v>
      </c>
      <c r="D444" s="24" t="s">
        <v>76</v>
      </c>
      <c r="E444" s="13"/>
      <c r="F444" s="13"/>
      <c r="G444" s="13"/>
      <c r="H444" s="13"/>
      <c r="I444" s="13">
        <f t="shared" si="29"/>
        <v>0</v>
      </c>
      <c r="J444" s="13"/>
      <c r="K444" s="13"/>
      <c r="L444" s="13">
        <f t="shared" si="30"/>
        <v>0</v>
      </c>
      <c r="M444" s="13"/>
    </row>
    <row r="445" spans="1:13" ht="15.75" customHeight="1" hidden="1">
      <c r="A445" s="133"/>
      <c r="B445" s="133"/>
      <c r="C445" s="18" t="s">
        <v>47</v>
      </c>
      <c r="D445" s="20" t="s">
        <v>48</v>
      </c>
      <c r="E445" s="13"/>
      <c r="F445" s="13"/>
      <c r="G445" s="13"/>
      <c r="H445" s="13"/>
      <c r="I445" s="13">
        <f t="shared" si="29"/>
        <v>0</v>
      </c>
      <c r="J445" s="13"/>
      <c r="K445" s="13"/>
      <c r="L445" s="13">
        <f t="shared" si="30"/>
        <v>0</v>
      </c>
      <c r="M445" s="13"/>
    </row>
    <row r="446" spans="1:13" ht="15.75" customHeight="1" hidden="1">
      <c r="A446" s="133"/>
      <c r="B446" s="133"/>
      <c r="C446" s="18" t="s">
        <v>49</v>
      </c>
      <c r="D446" s="20" t="s">
        <v>50</v>
      </c>
      <c r="E446" s="13"/>
      <c r="F446" s="13"/>
      <c r="G446" s="13"/>
      <c r="H446" s="13"/>
      <c r="I446" s="13">
        <f t="shared" si="29"/>
        <v>0</v>
      </c>
      <c r="J446" s="13"/>
      <c r="K446" s="13"/>
      <c r="L446" s="13">
        <f t="shared" si="30"/>
        <v>0</v>
      </c>
      <c r="M446" s="13"/>
    </row>
    <row r="447" spans="1:13" ht="15.75" customHeight="1" hidden="1">
      <c r="A447" s="133"/>
      <c r="B447" s="133"/>
      <c r="C447" s="18" t="s">
        <v>69</v>
      </c>
      <c r="D447" s="21" t="s">
        <v>70</v>
      </c>
      <c r="E447" s="13"/>
      <c r="F447" s="13"/>
      <c r="G447" s="13"/>
      <c r="H447" s="13"/>
      <c r="I447" s="13">
        <f t="shared" si="29"/>
        <v>0</v>
      </c>
      <c r="J447" s="13"/>
      <c r="K447" s="13"/>
      <c r="L447" s="13">
        <f t="shared" si="30"/>
        <v>0</v>
      </c>
      <c r="M447" s="13"/>
    </row>
    <row r="448" spans="1:13" s="28" customFormat="1" ht="15.75" customHeight="1" hidden="1">
      <c r="A448" s="129"/>
      <c r="B448" s="129"/>
      <c r="C448" s="25"/>
      <c r="D448" s="26" t="s">
        <v>200</v>
      </c>
      <c r="E448" s="40">
        <f>SUM(E440:E443,E445:E447)</f>
        <v>0</v>
      </c>
      <c r="F448" s="40">
        <f>SUM(F440:F443,F445:F447)</f>
        <v>0</v>
      </c>
      <c r="G448" s="40">
        <f>SUM(G440:G443,G445:G447)</f>
        <v>0</v>
      </c>
      <c r="H448" s="40">
        <f>SUM(H440:H443,H445:H447)</f>
        <v>0</v>
      </c>
      <c r="I448" s="13">
        <f t="shared" si="29"/>
        <v>0</v>
      </c>
      <c r="J448" s="13"/>
      <c r="K448" s="27"/>
      <c r="L448" s="13">
        <f t="shared" si="30"/>
        <v>0</v>
      </c>
      <c r="M448" s="13"/>
    </row>
    <row r="449" spans="9:13" ht="18.75" customHeight="1" hidden="1">
      <c r="I449" s="13"/>
      <c r="J449" s="13"/>
      <c r="K449" s="27"/>
      <c r="L449" s="13"/>
      <c r="M449" s="13"/>
    </row>
    <row r="450" spans="1:13" s="28" customFormat="1" ht="33.75" customHeight="1" hidden="1">
      <c r="A450" s="79"/>
      <c r="B450" s="79"/>
      <c r="C450" s="80"/>
      <c r="D450" s="81" t="s">
        <v>201</v>
      </c>
      <c r="E450" s="84">
        <f>E466+E480+E521-E528</f>
        <v>1020962.3999999999</v>
      </c>
      <c r="F450" s="84">
        <f>F466+F480+F521-F528</f>
        <v>21262517.246</v>
      </c>
      <c r="G450" s="84">
        <f>G466+G480+G521-G528</f>
        <v>1459093.3000000003</v>
      </c>
      <c r="H450" s="84">
        <f>H466+H480+H521-H528</f>
        <v>1304011.9700000002</v>
      </c>
      <c r="I450" s="85">
        <f>H450-G450</f>
        <v>-155081.33000000007</v>
      </c>
      <c r="J450" s="85">
        <f>H450/G450*100</f>
        <v>89.37139043815772</v>
      </c>
      <c r="K450" s="86">
        <f>H450/F450*100</f>
        <v>6.13291434364535</v>
      </c>
      <c r="L450" s="85">
        <f>H450-E450</f>
        <v>283049.5700000003</v>
      </c>
      <c r="M450" s="85">
        <f>H450/E450*100</f>
        <v>127.72379962278733</v>
      </c>
    </row>
    <row r="451" spans="1:13" s="28" customFormat="1" ht="15.75">
      <c r="A451" s="87"/>
      <c r="B451" s="88"/>
      <c r="C451" s="89"/>
      <c r="D451" s="90"/>
      <c r="E451" s="91"/>
      <c r="F451" s="91"/>
      <c r="G451" s="91"/>
      <c r="H451" s="91"/>
      <c r="I451" s="92"/>
      <c r="J451" s="92"/>
      <c r="K451" s="93"/>
      <c r="L451" s="92"/>
      <c r="M451" s="94"/>
    </row>
    <row r="452" spans="1:13" s="28" customFormat="1" ht="31.5" customHeight="1">
      <c r="A452" s="115" t="s">
        <v>202</v>
      </c>
      <c r="B452" s="115"/>
      <c r="C452" s="115"/>
      <c r="D452" s="115"/>
      <c r="E452" s="78">
        <f>E466+E480</f>
        <v>862533.7</v>
      </c>
      <c r="F452" s="78">
        <f>F466+F480</f>
        <v>17414833.8</v>
      </c>
      <c r="G452" s="78">
        <f>G466+G480</f>
        <v>947840.6200000001</v>
      </c>
      <c r="H452" s="78">
        <f>H466+H480</f>
        <v>982864.52</v>
      </c>
      <c r="I452" s="95">
        <f t="shared" si="29"/>
        <v>35023.89999999991</v>
      </c>
      <c r="J452" s="95">
        <f>H452/G452*100</f>
        <v>103.69512545263146</v>
      </c>
      <c r="K452" s="95">
        <f>H452/F452*100</f>
        <v>5.64383519985129</v>
      </c>
      <c r="L452" s="95">
        <f t="shared" si="30"/>
        <v>120330.82000000007</v>
      </c>
      <c r="M452" s="95">
        <f>H452/E452*100</f>
        <v>113.95085432603969</v>
      </c>
    </row>
    <row r="453" spans="1:13" s="28" customFormat="1" ht="39" customHeight="1">
      <c r="A453" s="116" t="s">
        <v>231</v>
      </c>
      <c r="B453" s="116"/>
      <c r="C453" s="116"/>
      <c r="D453" s="116"/>
      <c r="E453" s="78">
        <f aca="true" t="shared" si="31" ref="E453:H454">E529</f>
        <v>1020962.3999999999</v>
      </c>
      <c r="F453" s="78">
        <f t="shared" si="31"/>
        <v>21262517.246</v>
      </c>
      <c r="G453" s="78">
        <f t="shared" si="31"/>
        <v>1459093.3000000003</v>
      </c>
      <c r="H453" s="78">
        <f t="shared" si="31"/>
        <v>1304011.9700000002</v>
      </c>
      <c r="I453" s="95">
        <f t="shared" si="29"/>
        <v>-155081.33000000007</v>
      </c>
      <c r="J453" s="95">
        <f>H453/G453*100</f>
        <v>89.37139043815772</v>
      </c>
      <c r="K453" s="95">
        <f>H453/F453*100</f>
        <v>6.13291434364535</v>
      </c>
      <c r="L453" s="95">
        <f t="shared" si="30"/>
        <v>283049.5700000003</v>
      </c>
      <c r="M453" s="95">
        <f>H453/E453*100</f>
        <v>127.72379962278733</v>
      </c>
    </row>
    <row r="454" spans="1:13" s="28" customFormat="1" ht="39" customHeight="1">
      <c r="A454" s="116" t="s">
        <v>229</v>
      </c>
      <c r="B454" s="116"/>
      <c r="C454" s="116"/>
      <c r="D454" s="116"/>
      <c r="E454" s="78">
        <f t="shared" si="31"/>
        <v>723224.2</v>
      </c>
      <c r="F454" s="78">
        <f t="shared" si="31"/>
        <v>21262517.246</v>
      </c>
      <c r="G454" s="78">
        <f t="shared" si="31"/>
        <v>1459093.3000000003</v>
      </c>
      <c r="H454" s="78">
        <f t="shared" si="31"/>
        <v>1056050.7400000002</v>
      </c>
      <c r="I454" s="95">
        <f t="shared" si="29"/>
        <v>-403042.56000000006</v>
      </c>
      <c r="J454" s="95">
        <f>H454/G454*100</f>
        <v>72.37719068410499</v>
      </c>
      <c r="K454" s="95">
        <f>H454/F454*100</f>
        <v>4.966724907412687</v>
      </c>
      <c r="L454" s="95">
        <f t="shared" si="30"/>
        <v>332826.54000000027</v>
      </c>
      <c r="M454" s="95">
        <f>H454/E454*100</f>
        <v>146.0198289824926</v>
      </c>
    </row>
    <row r="455" spans="1:13" s="28" customFormat="1" ht="15.75" customHeight="1" hidden="1">
      <c r="A455" s="66"/>
      <c r="B455" s="66"/>
      <c r="C455" s="82"/>
      <c r="D455" s="83"/>
      <c r="E455" s="40"/>
      <c r="F455" s="40"/>
      <c r="G455" s="40"/>
      <c r="H455" s="40"/>
      <c r="I455" s="13">
        <f t="shared" si="29"/>
        <v>0</v>
      </c>
      <c r="J455" s="13"/>
      <c r="K455" s="13"/>
      <c r="L455" s="13">
        <f t="shared" si="30"/>
        <v>0</v>
      </c>
      <c r="M455" s="13"/>
    </row>
    <row r="456" spans="1:13" s="28" customFormat="1" ht="31.5" customHeight="1" hidden="1">
      <c r="A456" s="42"/>
      <c r="B456" s="42"/>
      <c r="C456" s="36"/>
      <c r="D456" s="26" t="s">
        <v>205</v>
      </c>
      <c r="E456" s="56">
        <f>E458</f>
        <v>0</v>
      </c>
      <c r="F456" s="56">
        <f>F458</f>
        <v>0</v>
      </c>
      <c r="G456" s="56">
        <f>G458</f>
        <v>0</v>
      </c>
      <c r="H456" s="56">
        <f>H458</f>
        <v>0</v>
      </c>
      <c r="I456" s="13">
        <f t="shared" si="29"/>
        <v>0</v>
      </c>
      <c r="J456" s="13"/>
      <c r="K456" s="27"/>
      <c r="L456" s="13">
        <f t="shared" si="30"/>
        <v>0</v>
      </c>
      <c r="M456" s="13"/>
    </row>
    <row r="457" spans="1:13" ht="31.5" customHeight="1" hidden="1">
      <c r="A457" s="128" t="s">
        <v>15</v>
      </c>
      <c r="B457" s="130" t="s">
        <v>16</v>
      </c>
      <c r="C457" s="16" t="s">
        <v>206</v>
      </c>
      <c r="D457" s="21" t="s">
        <v>207</v>
      </c>
      <c r="E457" s="49"/>
      <c r="F457" s="49"/>
      <c r="G457" s="49"/>
      <c r="H457" s="49"/>
      <c r="I457" s="13">
        <f t="shared" si="29"/>
        <v>0</v>
      </c>
      <c r="J457" s="13"/>
      <c r="K457" s="13"/>
      <c r="L457" s="13">
        <f t="shared" si="30"/>
        <v>0</v>
      </c>
      <c r="M457" s="13"/>
    </row>
    <row r="458" spans="1:13" s="28" customFormat="1" ht="15.75" customHeight="1" hidden="1">
      <c r="A458" s="129"/>
      <c r="B458" s="129"/>
      <c r="C458" s="36"/>
      <c r="D458" s="26" t="s">
        <v>200</v>
      </c>
      <c r="E458" s="56">
        <f>SUM(E457:E457)</f>
        <v>0</v>
      </c>
      <c r="F458" s="56">
        <f>SUM(F457:F457)</f>
        <v>0</v>
      </c>
      <c r="G458" s="56">
        <f>SUM(G457:G457)</f>
        <v>0</v>
      </c>
      <c r="H458" s="56">
        <f>SUM(H457:H457)</f>
        <v>0</v>
      </c>
      <c r="I458" s="13">
        <f t="shared" si="29"/>
        <v>0</v>
      </c>
      <c r="J458" s="13"/>
      <c r="K458" s="27"/>
      <c r="L458" s="13">
        <f t="shared" si="30"/>
        <v>0</v>
      </c>
      <c r="M458" s="13"/>
    </row>
    <row r="459" spans="1:11" ht="15.75" hidden="1">
      <c r="A459" s="57"/>
      <c r="B459" s="57"/>
      <c r="C459" s="58"/>
      <c r="D459" s="6"/>
      <c r="E459" s="59"/>
      <c r="F459" s="59"/>
      <c r="G459" s="59"/>
      <c r="H459" s="59"/>
      <c r="I459" s="60"/>
      <c r="J459" s="60"/>
      <c r="K459" s="60"/>
    </row>
    <row r="460" spans="1:11" ht="15.75" hidden="1">
      <c r="A460" s="57"/>
      <c r="B460" s="57"/>
      <c r="C460" s="58"/>
      <c r="D460" s="6" t="s">
        <v>208</v>
      </c>
      <c r="E460" s="131"/>
      <c r="F460" s="122"/>
      <c r="G460" s="122"/>
      <c r="H460" s="122"/>
      <c r="I460" s="124"/>
      <c r="J460" s="126"/>
      <c r="K460" s="126"/>
    </row>
    <row r="461" spans="1:11" ht="15.75" hidden="1">
      <c r="A461" s="57"/>
      <c r="B461" s="57"/>
      <c r="C461" s="58"/>
      <c r="D461" s="6"/>
      <c r="E461" s="131"/>
      <c r="F461" s="123"/>
      <c r="G461" s="123"/>
      <c r="H461" s="123"/>
      <c r="I461" s="125"/>
      <c r="J461" s="125"/>
      <c r="K461" s="125"/>
    </row>
    <row r="462" spans="1:11" ht="18" customHeight="1" hidden="1">
      <c r="A462" s="127" t="str">
        <f>A2</f>
        <v>Оперативный анализ исполнения бюджета города Перми по доходам на 1 февраля 2011 года</v>
      </c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</row>
    <row r="463" spans="2:13" ht="18" customHeight="1" hidden="1">
      <c r="B463" s="1"/>
      <c r="C463" s="61"/>
      <c r="D463" s="1"/>
      <c r="E463" s="62"/>
      <c r="F463" s="62"/>
      <c r="G463" s="62"/>
      <c r="H463" s="62"/>
      <c r="K463" s="9"/>
      <c r="M463" s="9" t="s">
        <v>1</v>
      </c>
    </row>
    <row r="464" spans="1:13" ht="42.75" customHeight="1" hidden="1">
      <c r="A464" s="119" t="s">
        <v>2</v>
      </c>
      <c r="B464" s="120" t="s">
        <v>3</v>
      </c>
      <c r="C464" s="121" t="s">
        <v>4</v>
      </c>
      <c r="D464" s="120" t="s">
        <v>5</v>
      </c>
      <c r="E464" s="117" t="str">
        <f>E4</f>
        <v>Факт  на 01.02.2010 г. </v>
      </c>
      <c r="F464" s="117" t="str">
        <f aca="true" t="shared" si="32" ref="F464:M464">F4</f>
        <v>Годовой план на 2011 год </v>
      </c>
      <c r="G464" s="117" t="str">
        <f t="shared" si="32"/>
        <v>План января 2011 года</v>
      </c>
      <c r="H464" s="96" t="str">
        <f t="shared" si="32"/>
        <v>Факт с начала года на 01.02.2011г. </v>
      </c>
      <c r="I464" s="112" t="str">
        <f t="shared" si="32"/>
        <v>Отклонение факта отч.пер. от плана января</v>
      </c>
      <c r="J464" s="112" t="str">
        <f t="shared" si="32"/>
        <v>% исполн. плана января</v>
      </c>
      <c r="K464" s="112" t="str">
        <f t="shared" si="32"/>
        <v>% исполн. плана года</v>
      </c>
      <c r="L464" s="112" t="str">
        <f t="shared" si="32"/>
        <v>Отклонение факта 2011 от факта 2010</v>
      </c>
      <c r="M464" s="112" t="str">
        <f t="shared" si="32"/>
        <v>% факта 2011г. к факту 2010г.</v>
      </c>
    </row>
    <row r="465" spans="1:13" ht="37.5" customHeight="1" hidden="1">
      <c r="A465" s="119"/>
      <c r="B465" s="120"/>
      <c r="C465" s="121"/>
      <c r="D465" s="120"/>
      <c r="E465" s="118"/>
      <c r="F465" s="118"/>
      <c r="G465" s="118"/>
      <c r="H465" s="97"/>
      <c r="I465" s="113"/>
      <c r="J465" s="113"/>
      <c r="K465" s="113"/>
      <c r="L465" s="113"/>
      <c r="M465" s="113"/>
    </row>
    <row r="466" spans="1:13" s="28" customFormat="1" ht="15.75" hidden="1">
      <c r="A466" s="114"/>
      <c r="B466" s="114"/>
      <c r="C466" s="25"/>
      <c r="D466" s="26" t="s">
        <v>209</v>
      </c>
      <c r="E466" s="40">
        <f>SUM(E479,E467:E474)</f>
        <v>770159.7</v>
      </c>
      <c r="F466" s="40">
        <f>SUM(F479,F467:F474)</f>
        <v>14721482.100000001</v>
      </c>
      <c r="G466" s="40">
        <f>SUM(G479,G467:G474)</f>
        <v>818729.4000000001</v>
      </c>
      <c r="H466" s="40">
        <f>SUM(H479,H467:H474)</f>
        <v>871920.23</v>
      </c>
      <c r="I466" s="63">
        <f>H466-G466</f>
        <v>53190.82999999984</v>
      </c>
      <c r="J466" s="63">
        <f>H466/G466*100</f>
        <v>106.49675338396298</v>
      </c>
      <c r="K466" s="63">
        <f aca="true" t="shared" si="33" ref="K466:K478">H466/F466*100</f>
        <v>5.922774786378335</v>
      </c>
      <c r="L466" s="63">
        <f>H466-E466</f>
        <v>101760.53000000003</v>
      </c>
      <c r="M466" s="63">
        <f>H466/E466*100</f>
        <v>113.21291285430802</v>
      </c>
    </row>
    <row r="467" spans="1:13" ht="15.75" hidden="1">
      <c r="A467" s="114"/>
      <c r="B467" s="114"/>
      <c r="C467" s="18" t="s">
        <v>144</v>
      </c>
      <c r="D467" s="20" t="s">
        <v>145</v>
      </c>
      <c r="E467" s="39">
        <f aca="true" t="shared" si="34" ref="E467:H473">SUMIF($C$6:$C$457,$C467,E$6:E$457)</f>
        <v>339147.9</v>
      </c>
      <c r="F467" s="39">
        <f t="shared" si="34"/>
        <v>6782876.100000001</v>
      </c>
      <c r="G467" s="39">
        <f t="shared" si="34"/>
        <v>386238.50000000006</v>
      </c>
      <c r="H467" s="39">
        <f t="shared" si="34"/>
        <v>428807.19</v>
      </c>
      <c r="I467" s="64">
        <f aca="true" t="shared" si="35" ref="I467:I532">H467-G467</f>
        <v>42568.689999999944</v>
      </c>
      <c r="J467" s="64">
        <f aca="true" t="shared" si="36" ref="J467:J526">H467/G467*100</f>
        <v>111.0213482084256</v>
      </c>
      <c r="K467" s="64">
        <f t="shared" si="33"/>
        <v>6.321908047236775</v>
      </c>
      <c r="L467" s="64">
        <f aca="true" t="shared" si="37" ref="L467:L531">H467-E467</f>
        <v>89659.28999999998</v>
      </c>
      <c r="M467" s="64">
        <f aca="true" t="shared" si="38" ref="M467:M530">H467/E467*100</f>
        <v>126.43663428256522</v>
      </c>
    </row>
    <row r="468" spans="1:13" ht="15.75" hidden="1">
      <c r="A468" s="114"/>
      <c r="B468" s="114"/>
      <c r="C468" s="18" t="s">
        <v>146</v>
      </c>
      <c r="D468" s="20" t="s">
        <v>147</v>
      </c>
      <c r="E468" s="39">
        <f t="shared" si="34"/>
        <v>81649.7</v>
      </c>
      <c r="F468" s="39">
        <f t="shared" si="34"/>
        <v>483544</v>
      </c>
      <c r="G468" s="39">
        <f t="shared" si="34"/>
        <v>91148</v>
      </c>
      <c r="H468" s="39">
        <f t="shared" si="34"/>
        <v>60821.74</v>
      </c>
      <c r="I468" s="64">
        <f t="shared" si="35"/>
        <v>-30326.260000000002</v>
      </c>
      <c r="J468" s="64">
        <f t="shared" si="36"/>
        <v>66.7285513670075</v>
      </c>
      <c r="K468" s="64">
        <f t="shared" si="33"/>
        <v>12.57832586072829</v>
      </c>
      <c r="L468" s="64">
        <f t="shared" si="37"/>
        <v>-20827.96</v>
      </c>
      <c r="M468" s="64">
        <f t="shared" si="38"/>
        <v>74.49107590107495</v>
      </c>
    </row>
    <row r="469" spans="1:13" ht="15.75" hidden="1">
      <c r="A469" s="114"/>
      <c r="B469" s="114"/>
      <c r="C469" s="18" t="s">
        <v>169</v>
      </c>
      <c r="D469" s="20" t="s">
        <v>170</v>
      </c>
      <c r="E469" s="39">
        <f t="shared" si="34"/>
        <v>0</v>
      </c>
      <c r="F469" s="39">
        <f t="shared" si="34"/>
        <v>652.7</v>
      </c>
      <c r="G469" s="39">
        <f t="shared" si="34"/>
        <v>0</v>
      </c>
      <c r="H469" s="39">
        <f t="shared" si="34"/>
        <v>3.96</v>
      </c>
      <c r="I469" s="64">
        <f t="shared" si="35"/>
        <v>3.96</v>
      </c>
      <c r="J469" s="64"/>
      <c r="K469" s="64">
        <f t="shared" si="33"/>
        <v>0.60671058679332</v>
      </c>
      <c r="L469" s="64">
        <f t="shared" si="37"/>
        <v>3.96</v>
      </c>
      <c r="M469" s="64"/>
    </row>
    <row r="470" spans="1:13" ht="15.75" hidden="1">
      <c r="A470" s="114"/>
      <c r="B470" s="114"/>
      <c r="C470" s="18" t="s">
        <v>189</v>
      </c>
      <c r="D470" s="20" t="s">
        <v>190</v>
      </c>
      <c r="E470" s="39">
        <f t="shared" si="34"/>
        <v>7366.4</v>
      </c>
      <c r="F470" s="39">
        <f t="shared" si="34"/>
        <v>53346</v>
      </c>
      <c r="G470" s="39">
        <f t="shared" si="34"/>
        <v>6166.7</v>
      </c>
      <c r="H470" s="39">
        <f t="shared" si="34"/>
        <v>8622.21</v>
      </c>
      <c r="I470" s="64">
        <f t="shared" si="35"/>
        <v>2455.5099999999993</v>
      </c>
      <c r="J470" s="64">
        <f t="shared" si="36"/>
        <v>139.8188658439684</v>
      </c>
      <c r="K470" s="64">
        <f t="shared" si="33"/>
        <v>16.1628050837926</v>
      </c>
      <c r="L470" s="64">
        <f t="shared" si="37"/>
        <v>1255.8099999999995</v>
      </c>
      <c r="M470" s="64">
        <f t="shared" si="38"/>
        <v>117.04781168549087</v>
      </c>
    </row>
    <row r="471" spans="1:13" ht="15.75" hidden="1">
      <c r="A471" s="114"/>
      <c r="B471" s="114"/>
      <c r="C471" s="18" t="s">
        <v>53</v>
      </c>
      <c r="D471" s="29" t="s">
        <v>54</v>
      </c>
      <c r="E471" s="39">
        <f t="shared" si="34"/>
        <v>15105.3</v>
      </c>
      <c r="F471" s="39">
        <f t="shared" si="34"/>
        <v>2752050.4</v>
      </c>
      <c r="G471" s="39">
        <f t="shared" si="34"/>
        <v>16512.3</v>
      </c>
      <c r="H471" s="39">
        <f t="shared" si="34"/>
        <v>20177.070000000003</v>
      </c>
      <c r="I471" s="64">
        <f t="shared" si="35"/>
        <v>3664.770000000004</v>
      </c>
      <c r="J471" s="64">
        <f t="shared" si="36"/>
        <v>122.19418251848624</v>
      </c>
      <c r="K471" s="64">
        <f t="shared" si="33"/>
        <v>0.7331649885481749</v>
      </c>
      <c r="L471" s="64">
        <f t="shared" si="37"/>
        <v>5071.770000000004</v>
      </c>
      <c r="M471" s="64">
        <f t="shared" si="38"/>
        <v>133.57609580743187</v>
      </c>
    </row>
    <row r="472" spans="1:13" ht="15.75" hidden="1">
      <c r="A472" s="114"/>
      <c r="B472" s="114"/>
      <c r="C472" s="18" t="s">
        <v>136</v>
      </c>
      <c r="D472" s="29" t="s">
        <v>137</v>
      </c>
      <c r="E472" s="39">
        <f t="shared" si="34"/>
        <v>114299.1</v>
      </c>
      <c r="F472" s="39">
        <f t="shared" si="34"/>
        <v>902073.3999999999</v>
      </c>
      <c r="G472" s="39">
        <f t="shared" si="34"/>
        <v>22955.6</v>
      </c>
      <c r="H472" s="39">
        <f t="shared" si="34"/>
        <v>19269.64</v>
      </c>
      <c r="I472" s="64">
        <f t="shared" si="35"/>
        <v>-3685.959999999999</v>
      </c>
      <c r="J472" s="64">
        <f t="shared" si="36"/>
        <v>83.94309013922529</v>
      </c>
      <c r="K472" s="64">
        <f t="shared" si="33"/>
        <v>2.1361498964496684</v>
      </c>
      <c r="L472" s="64">
        <f t="shared" si="37"/>
        <v>-95029.46</v>
      </c>
      <c r="M472" s="64">
        <f t="shared" si="38"/>
        <v>16.858960394263818</v>
      </c>
    </row>
    <row r="473" spans="1:13" ht="15.75" hidden="1">
      <c r="A473" s="114"/>
      <c r="B473" s="114"/>
      <c r="C473" s="18" t="s">
        <v>191</v>
      </c>
      <c r="D473" s="20" t="s">
        <v>192</v>
      </c>
      <c r="E473" s="39">
        <f t="shared" si="34"/>
        <v>205566.6</v>
      </c>
      <c r="F473" s="39">
        <f t="shared" si="34"/>
        <v>3404485</v>
      </c>
      <c r="G473" s="39">
        <f t="shared" si="34"/>
        <v>286698</v>
      </c>
      <c r="H473" s="39">
        <f t="shared" si="34"/>
        <v>317991.79000000004</v>
      </c>
      <c r="I473" s="64">
        <f t="shared" si="35"/>
        <v>31293.790000000037</v>
      </c>
      <c r="J473" s="64">
        <f t="shared" si="36"/>
        <v>110.91524531039632</v>
      </c>
      <c r="K473" s="64">
        <f t="shared" si="33"/>
        <v>9.340378647578122</v>
      </c>
      <c r="L473" s="64">
        <f t="shared" si="37"/>
        <v>112425.19000000003</v>
      </c>
      <c r="M473" s="64">
        <f t="shared" si="38"/>
        <v>154.69039717541665</v>
      </c>
    </row>
    <row r="474" spans="1:13" ht="15.75" hidden="1">
      <c r="A474" s="114"/>
      <c r="B474" s="114"/>
      <c r="C474" s="53" t="s">
        <v>210</v>
      </c>
      <c r="D474" s="20" t="s">
        <v>211</v>
      </c>
      <c r="E474" s="39">
        <f>SUM(E475:E478)</f>
        <v>7013.199999999999</v>
      </c>
      <c r="F474" s="39">
        <f>SUM(F475:F478)</f>
        <v>342454.5</v>
      </c>
      <c r="G474" s="39">
        <f>SUM(G475:G478)</f>
        <v>9010.3</v>
      </c>
      <c r="H474" s="39">
        <f>SUM(H475:H478)</f>
        <v>16248.960000000001</v>
      </c>
      <c r="I474" s="64">
        <f t="shared" si="35"/>
        <v>7238.660000000002</v>
      </c>
      <c r="J474" s="64">
        <f t="shared" si="36"/>
        <v>180.33761361996827</v>
      </c>
      <c r="K474" s="64">
        <f t="shared" si="33"/>
        <v>4.74485223584447</v>
      </c>
      <c r="L474" s="64">
        <f t="shared" si="37"/>
        <v>9235.760000000002</v>
      </c>
      <c r="M474" s="64">
        <f t="shared" si="38"/>
        <v>231.6910967889124</v>
      </c>
    </row>
    <row r="475" spans="1:13" ht="15.75" customHeight="1" hidden="1">
      <c r="A475" s="114"/>
      <c r="B475" s="114"/>
      <c r="C475" s="18" t="s">
        <v>155</v>
      </c>
      <c r="D475" s="20" t="s">
        <v>156</v>
      </c>
      <c r="E475" s="39">
        <f aca="true" t="shared" si="39" ref="E475:H479">SUMIF($C$6:$C$457,$C475,E$6:E$457)</f>
        <v>4368.7</v>
      </c>
      <c r="F475" s="39">
        <f t="shared" si="39"/>
        <v>178134.7</v>
      </c>
      <c r="G475" s="39">
        <f t="shared" si="39"/>
        <v>6608.9</v>
      </c>
      <c r="H475" s="39">
        <f t="shared" si="39"/>
        <v>5545.79</v>
      </c>
      <c r="I475" s="64">
        <f t="shared" si="35"/>
        <v>-1063.1099999999997</v>
      </c>
      <c r="J475" s="64">
        <f t="shared" si="36"/>
        <v>83.91396450241342</v>
      </c>
      <c r="K475" s="64">
        <f t="shared" si="33"/>
        <v>3.1132564289832354</v>
      </c>
      <c r="L475" s="64">
        <f t="shared" si="37"/>
        <v>1177.0900000000001</v>
      </c>
      <c r="M475" s="64">
        <f t="shared" si="38"/>
        <v>126.94371323276947</v>
      </c>
    </row>
    <row r="476" spans="1:13" ht="99.75" customHeight="1" hidden="1">
      <c r="A476" s="114"/>
      <c r="B476" s="114"/>
      <c r="C476" s="37" t="s">
        <v>71</v>
      </c>
      <c r="D476" s="38" t="s">
        <v>72</v>
      </c>
      <c r="E476" s="39">
        <f t="shared" si="39"/>
        <v>35.9</v>
      </c>
      <c r="F476" s="39">
        <f t="shared" si="39"/>
        <v>693</v>
      </c>
      <c r="G476" s="39">
        <f t="shared" si="39"/>
        <v>31.299999999999997</v>
      </c>
      <c r="H476" s="39">
        <f t="shared" si="39"/>
        <v>76.8</v>
      </c>
      <c r="I476" s="64">
        <f t="shared" si="35"/>
        <v>45.5</v>
      </c>
      <c r="J476" s="64">
        <f t="shared" si="36"/>
        <v>245.3674121405751</v>
      </c>
      <c r="K476" s="64">
        <f t="shared" si="33"/>
        <v>11.082251082251082</v>
      </c>
      <c r="L476" s="64">
        <f t="shared" si="37"/>
        <v>40.9</v>
      </c>
      <c r="M476" s="64">
        <f t="shared" si="38"/>
        <v>213.92757660167132</v>
      </c>
    </row>
    <row r="477" spans="1:13" ht="15.75" customHeight="1" hidden="1">
      <c r="A477" s="114"/>
      <c r="B477" s="114"/>
      <c r="C477" s="18" t="s">
        <v>138</v>
      </c>
      <c r="D477" s="20" t="s">
        <v>139</v>
      </c>
      <c r="E477" s="39">
        <f t="shared" si="39"/>
        <v>2587.6</v>
      </c>
      <c r="F477" s="39">
        <f t="shared" si="39"/>
        <v>162783.8</v>
      </c>
      <c r="G477" s="39">
        <f t="shared" si="39"/>
        <v>2349.1</v>
      </c>
      <c r="H477" s="39">
        <f t="shared" si="39"/>
        <v>10620.37</v>
      </c>
      <c r="I477" s="64">
        <f t="shared" si="35"/>
        <v>8271.27</v>
      </c>
      <c r="J477" s="64">
        <f t="shared" si="36"/>
        <v>452.1037844280789</v>
      </c>
      <c r="K477" s="64">
        <f t="shared" si="33"/>
        <v>6.524218011866047</v>
      </c>
      <c r="L477" s="64">
        <f t="shared" si="37"/>
        <v>8032.77</v>
      </c>
      <c r="M477" s="64">
        <f t="shared" si="38"/>
        <v>410.43321997217504</v>
      </c>
    </row>
    <row r="478" spans="1:13" ht="31.5" customHeight="1" hidden="1">
      <c r="A478" s="114"/>
      <c r="B478" s="114"/>
      <c r="C478" s="18" t="s">
        <v>165</v>
      </c>
      <c r="D478" s="20" t="s">
        <v>166</v>
      </c>
      <c r="E478" s="39">
        <f t="shared" si="39"/>
        <v>21</v>
      </c>
      <c r="F478" s="39">
        <f t="shared" si="39"/>
        <v>843</v>
      </c>
      <c r="G478" s="39">
        <f t="shared" si="39"/>
        <v>21</v>
      </c>
      <c r="H478" s="39">
        <f t="shared" si="39"/>
        <v>6</v>
      </c>
      <c r="I478" s="64">
        <f t="shared" si="35"/>
        <v>-15</v>
      </c>
      <c r="J478" s="64">
        <f t="shared" si="36"/>
        <v>28.57142857142857</v>
      </c>
      <c r="K478" s="64">
        <f t="shared" si="33"/>
        <v>0.7117437722419928</v>
      </c>
      <c r="L478" s="64">
        <f t="shared" si="37"/>
        <v>-15</v>
      </c>
      <c r="M478" s="64">
        <f t="shared" si="38"/>
        <v>28.57142857142857</v>
      </c>
    </row>
    <row r="479" spans="1:13" ht="15.75" hidden="1">
      <c r="A479" s="114"/>
      <c r="B479" s="114"/>
      <c r="C479" s="18" t="s">
        <v>73</v>
      </c>
      <c r="D479" s="20" t="s">
        <v>74</v>
      </c>
      <c r="E479" s="39">
        <f t="shared" si="39"/>
        <v>11.5</v>
      </c>
      <c r="F479" s="39">
        <f t="shared" si="39"/>
        <v>0</v>
      </c>
      <c r="G479" s="39">
        <f t="shared" si="39"/>
        <v>0</v>
      </c>
      <c r="H479" s="39">
        <f t="shared" si="39"/>
        <v>-22.33</v>
      </c>
      <c r="I479" s="64">
        <f t="shared" si="35"/>
        <v>-22.33</v>
      </c>
      <c r="J479" s="64"/>
      <c r="K479" s="64"/>
      <c r="L479" s="64">
        <f t="shared" si="37"/>
        <v>-33.83</v>
      </c>
      <c r="M479" s="64">
        <f t="shared" si="38"/>
        <v>-194.17391304347825</v>
      </c>
    </row>
    <row r="480" spans="1:13" s="28" customFormat="1" ht="15.75" hidden="1">
      <c r="A480" s="114"/>
      <c r="B480" s="114"/>
      <c r="C480" s="25"/>
      <c r="D480" s="26" t="s">
        <v>212</v>
      </c>
      <c r="E480" s="40">
        <f>SUM(E481:E494,E515:E518)</f>
        <v>92374</v>
      </c>
      <c r="F480" s="40">
        <f>SUM(F481:F494,F515:F518)-F518</f>
        <v>2693351.6999999993</v>
      </c>
      <c r="G480" s="40">
        <f>SUM(G481:G494,G515:G518)-G518</f>
        <v>129111.22</v>
      </c>
      <c r="H480" s="40">
        <f>SUM(H481:H494,H515:H518)-H518</f>
        <v>110944.29000000001</v>
      </c>
      <c r="I480" s="63">
        <f t="shared" si="35"/>
        <v>-18166.929999999993</v>
      </c>
      <c r="J480" s="63">
        <f t="shared" si="36"/>
        <v>85.92923992198355</v>
      </c>
      <c r="K480" s="63">
        <f>H480/F480*100</f>
        <v>4.119190598093819</v>
      </c>
      <c r="L480" s="63">
        <f t="shared" si="37"/>
        <v>18570.290000000008</v>
      </c>
      <c r="M480" s="63">
        <f t="shared" si="38"/>
        <v>120.10337324355338</v>
      </c>
    </row>
    <row r="481" spans="1:13" ht="15.75" customHeight="1" hidden="1">
      <c r="A481" s="114"/>
      <c r="B481" s="114"/>
      <c r="C481" s="18" t="s">
        <v>17</v>
      </c>
      <c r="D481" s="20" t="s">
        <v>18</v>
      </c>
      <c r="E481" s="39">
        <f aca="true" t="shared" si="40" ref="E481:H500">SUMIF($C$6:$C$457,$C481,E$6:E$457)</f>
        <v>0</v>
      </c>
      <c r="F481" s="39">
        <f t="shared" si="40"/>
        <v>433.9</v>
      </c>
      <c r="G481" s="39">
        <f t="shared" si="40"/>
        <v>0</v>
      </c>
      <c r="H481" s="39">
        <f t="shared" si="40"/>
        <v>0</v>
      </c>
      <c r="I481" s="64">
        <f t="shared" si="35"/>
        <v>0</v>
      </c>
      <c r="J481" s="64"/>
      <c r="K481" s="64"/>
      <c r="L481" s="64">
        <f t="shared" si="37"/>
        <v>0</v>
      </c>
      <c r="M481" s="64"/>
    </row>
    <row r="482" spans="1:13" ht="31.5" customHeight="1" hidden="1">
      <c r="A482" s="114"/>
      <c r="B482" s="114"/>
      <c r="C482" s="18" t="s">
        <v>213</v>
      </c>
      <c r="D482" s="20" t="s">
        <v>214</v>
      </c>
      <c r="E482" s="39">
        <f t="shared" si="40"/>
        <v>0</v>
      </c>
      <c r="F482" s="39">
        <f t="shared" si="40"/>
        <v>0</v>
      </c>
      <c r="G482" s="39">
        <f t="shared" si="40"/>
        <v>0</v>
      </c>
      <c r="H482" s="39">
        <f t="shared" si="40"/>
        <v>0</v>
      </c>
      <c r="I482" s="64">
        <f t="shared" si="35"/>
        <v>0</v>
      </c>
      <c r="J482" s="64" t="e">
        <f t="shared" si="36"/>
        <v>#DIV/0!</v>
      </c>
      <c r="K482" s="64"/>
      <c r="L482" s="64">
        <f t="shared" si="37"/>
        <v>0</v>
      </c>
      <c r="M482" s="64" t="e">
        <f t="shared" si="38"/>
        <v>#DIV/0!</v>
      </c>
    </row>
    <row r="483" spans="1:13" ht="94.5" hidden="1">
      <c r="A483" s="114"/>
      <c r="B483" s="114"/>
      <c r="C483" s="16" t="s">
        <v>19</v>
      </c>
      <c r="D483" s="17" t="s">
        <v>215</v>
      </c>
      <c r="E483" s="39">
        <f t="shared" si="40"/>
        <v>7518.9</v>
      </c>
      <c r="F483" s="39">
        <f t="shared" si="40"/>
        <v>405179.2</v>
      </c>
      <c r="G483" s="39">
        <f t="shared" si="40"/>
        <v>6391.07</v>
      </c>
      <c r="H483" s="39">
        <f t="shared" si="40"/>
        <v>14537.77</v>
      </c>
      <c r="I483" s="64">
        <f t="shared" si="35"/>
        <v>8146.700000000001</v>
      </c>
      <c r="J483" s="64">
        <f t="shared" si="36"/>
        <v>227.47004805142174</v>
      </c>
      <c r="K483" s="64">
        <f aca="true" t="shared" si="41" ref="K483:K517">H483/F483*100</f>
        <v>3.587985266765915</v>
      </c>
      <c r="L483" s="64">
        <f t="shared" si="37"/>
        <v>7018.870000000001</v>
      </c>
      <c r="M483" s="64"/>
    </row>
    <row r="484" spans="1:13" ht="31.5" hidden="1">
      <c r="A484" s="114"/>
      <c r="B484" s="114"/>
      <c r="C484" s="18" t="s">
        <v>187</v>
      </c>
      <c r="D484" s="20" t="s">
        <v>188</v>
      </c>
      <c r="E484" s="39">
        <f t="shared" si="40"/>
        <v>1.2</v>
      </c>
      <c r="F484" s="39">
        <f t="shared" si="40"/>
        <v>37924.1</v>
      </c>
      <c r="G484" s="39">
        <f t="shared" si="40"/>
        <v>0</v>
      </c>
      <c r="H484" s="39">
        <f t="shared" si="40"/>
        <v>1236.24</v>
      </c>
      <c r="I484" s="64">
        <f t="shared" si="35"/>
        <v>1236.24</v>
      </c>
      <c r="J484" s="64"/>
      <c r="K484" s="64">
        <f t="shared" si="41"/>
        <v>3.2597741277973635</v>
      </c>
      <c r="L484" s="64">
        <f t="shared" si="37"/>
        <v>1235.04</v>
      </c>
      <c r="M484" s="64">
        <f t="shared" si="38"/>
        <v>103020</v>
      </c>
    </row>
    <row r="485" spans="1:13" ht="15.75" hidden="1">
      <c r="A485" s="114"/>
      <c r="B485" s="114"/>
      <c r="C485" s="18" t="s">
        <v>21</v>
      </c>
      <c r="D485" s="19" t="s">
        <v>167</v>
      </c>
      <c r="E485" s="39">
        <f t="shared" si="40"/>
        <v>30381.4</v>
      </c>
      <c r="F485" s="39">
        <f t="shared" si="40"/>
        <v>420216.8</v>
      </c>
      <c r="G485" s="39">
        <f t="shared" si="40"/>
        <v>25955.4</v>
      </c>
      <c r="H485" s="39">
        <f t="shared" si="40"/>
        <v>23993.34</v>
      </c>
      <c r="I485" s="64">
        <f t="shared" si="35"/>
        <v>-1962.0600000000013</v>
      </c>
      <c r="J485" s="64">
        <f t="shared" si="36"/>
        <v>92.4406481888162</v>
      </c>
      <c r="K485" s="64">
        <f t="shared" si="41"/>
        <v>5.709752680045158</v>
      </c>
      <c r="L485" s="64">
        <f t="shared" si="37"/>
        <v>-6388.060000000001</v>
      </c>
      <c r="M485" s="64">
        <f t="shared" si="38"/>
        <v>78.97378001013777</v>
      </c>
    </row>
    <row r="486" spans="1:13" ht="33.75" customHeight="1" hidden="1">
      <c r="A486" s="114"/>
      <c r="B486" s="114"/>
      <c r="C486" s="18" t="s">
        <v>23</v>
      </c>
      <c r="D486" s="20" t="s">
        <v>24</v>
      </c>
      <c r="E486" s="39">
        <f t="shared" si="40"/>
        <v>0</v>
      </c>
      <c r="F486" s="39">
        <f t="shared" si="40"/>
        <v>3687</v>
      </c>
      <c r="G486" s="39">
        <f t="shared" si="40"/>
        <v>0</v>
      </c>
      <c r="H486" s="39">
        <f t="shared" si="40"/>
        <v>0</v>
      </c>
      <c r="I486" s="64">
        <f t="shared" si="35"/>
        <v>0</v>
      </c>
      <c r="J486" s="64"/>
      <c r="K486" s="64">
        <f t="shared" si="41"/>
        <v>0</v>
      </c>
      <c r="L486" s="64">
        <f t="shared" si="37"/>
        <v>0</v>
      </c>
      <c r="M486" s="64"/>
    </row>
    <row r="487" spans="1:13" ht="78.75" hidden="1">
      <c r="A487" s="114"/>
      <c r="B487" s="114"/>
      <c r="C487" s="16" t="s">
        <v>25</v>
      </c>
      <c r="D487" s="21" t="s">
        <v>216</v>
      </c>
      <c r="E487" s="39">
        <f t="shared" si="40"/>
        <v>4958.8</v>
      </c>
      <c r="F487" s="39">
        <f t="shared" si="40"/>
        <v>172587.9</v>
      </c>
      <c r="G487" s="39">
        <f t="shared" si="40"/>
        <v>14295.14</v>
      </c>
      <c r="H487" s="39">
        <f t="shared" si="40"/>
        <v>13735.14</v>
      </c>
      <c r="I487" s="64">
        <f t="shared" si="35"/>
        <v>-560</v>
      </c>
      <c r="J487" s="64">
        <f t="shared" si="36"/>
        <v>96.08258471060795</v>
      </c>
      <c r="K487" s="64">
        <f t="shared" si="41"/>
        <v>7.958344704350652</v>
      </c>
      <c r="L487" s="64">
        <f t="shared" si="37"/>
        <v>8776.34</v>
      </c>
      <c r="M487" s="64">
        <f t="shared" si="38"/>
        <v>276.9851576994434</v>
      </c>
    </row>
    <row r="488" spans="1:13" ht="15.75" hidden="1">
      <c r="A488" s="114"/>
      <c r="B488" s="114"/>
      <c r="C488" s="18" t="s">
        <v>85</v>
      </c>
      <c r="D488" s="20" t="s">
        <v>86</v>
      </c>
      <c r="E488" s="39">
        <f t="shared" si="40"/>
        <v>1394.9</v>
      </c>
      <c r="F488" s="39">
        <f t="shared" si="40"/>
        <v>11611.7</v>
      </c>
      <c r="G488" s="39">
        <f t="shared" si="40"/>
        <v>1277.3</v>
      </c>
      <c r="H488" s="39">
        <f t="shared" si="40"/>
        <v>1206.5</v>
      </c>
      <c r="I488" s="64">
        <f t="shared" si="35"/>
        <v>-70.79999999999995</v>
      </c>
      <c r="J488" s="64">
        <f t="shared" si="36"/>
        <v>94.45705785641589</v>
      </c>
      <c r="K488" s="64">
        <f t="shared" si="41"/>
        <v>10.390382114591317</v>
      </c>
      <c r="L488" s="64">
        <f t="shared" si="37"/>
        <v>-188.4000000000001</v>
      </c>
      <c r="M488" s="64">
        <f t="shared" si="38"/>
        <v>86.49365545917269</v>
      </c>
    </row>
    <row r="489" spans="1:13" ht="31.5" hidden="1">
      <c r="A489" s="114"/>
      <c r="B489" s="114"/>
      <c r="C489" s="18" t="s">
        <v>27</v>
      </c>
      <c r="D489" s="22" t="s">
        <v>28</v>
      </c>
      <c r="E489" s="39">
        <f t="shared" si="40"/>
        <v>2165.7999999999997</v>
      </c>
      <c r="F489" s="39">
        <f t="shared" si="40"/>
        <v>2696</v>
      </c>
      <c r="G489" s="39">
        <f t="shared" si="40"/>
        <v>0</v>
      </c>
      <c r="H489" s="39">
        <f t="shared" si="40"/>
        <v>799.4300000000001</v>
      </c>
      <c r="I489" s="64">
        <f t="shared" si="35"/>
        <v>799.4300000000001</v>
      </c>
      <c r="J489" s="64"/>
      <c r="K489" s="64">
        <f t="shared" si="41"/>
        <v>29.652448071216618</v>
      </c>
      <c r="L489" s="64">
        <f t="shared" si="37"/>
        <v>-1366.3699999999997</v>
      </c>
      <c r="M489" s="64">
        <f t="shared" si="38"/>
        <v>36.91153384430696</v>
      </c>
    </row>
    <row r="490" spans="1:13" ht="15.75" hidden="1">
      <c r="A490" s="114"/>
      <c r="B490" s="114"/>
      <c r="C490" s="18" t="s">
        <v>113</v>
      </c>
      <c r="D490" s="20" t="s">
        <v>114</v>
      </c>
      <c r="E490" s="39">
        <f t="shared" si="40"/>
        <v>0</v>
      </c>
      <c r="F490" s="39">
        <f t="shared" si="40"/>
        <v>389.3</v>
      </c>
      <c r="G490" s="39">
        <f t="shared" si="40"/>
        <v>0</v>
      </c>
      <c r="H490" s="39">
        <f t="shared" si="40"/>
        <v>65.75</v>
      </c>
      <c r="I490" s="64">
        <f t="shared" si="35"/>
        <v>65.75</v>
      </c>
      <c r="J490" s="64"/>
      <c r="K490" s="64">
        <f t="shared" si="41"/>
        <v>16.889288466478295</v>
      </c>
      <c r="L490" s="64">
        <f t="shared" si="37"/>
        <v>65.75</v>
      </c>
      <c r="M490" s="64"/>
    </row>
    <row r="491" spans="1:13" ht="99.75" customHeight="1" hidden="1">
      <c r="A491" s="114"/>
      <c r="B491" s="114"/>
      <c r="C491" s="16" t="s">
        <v>29</v>
      </c>
      <c r="D491" s="23" t="s">
        <v>30</v>
      </c>
      <c r="E491" s="39">
        <f t="shared" si="40"/>
        <v>5</v>
      </c>
      <c r="F491" s="39">
        <f t="shared" si="40"/>
        <v>0</v>
      </c>
      <c r="G491" s="39">
        <f t="shared" si="40"/>
        <v>0</v>
      </c>
      <c r="H491" s="39">
        <f t="shared" si="40"/>
        <v>9.34</v>
      </c>
      <c r="I491" s="64">
        <f t="shared" si="35"/>
        <v>9.34</v>
      </c>
      <c r="J491" s="64"/>
      <c r="K491" s="64"/>
      <c r="L491" s="64">
        <f t="shared" si="37"/>
        <v>4.34</v>
      </c>
      <c r="M491" s="64">
        <f t="shared" si="38"/>
        <v>186.79999999999998</v>
      </c>
    </row>
    <row r="492" spans="1:13" ht="110.25" hidden="1">
      <c r="A492" s="114"/>
      <c r="B492" s="114"/>
      <c r="C492" s="16" t="s">
        <v>31</v>
      </c>
      <c r="D492" s="21" t="s">
        <v>217</v>
      </c>
      <c r="E492" s="39">
        <f t="shared" si="40"/>
        <v>11280</v>
      </c>
      <c r="F492" s="39">
        <f t="shared" si="40"/>
        <v>1162983.4</v>
      </c>
      <c r="G492" s="39">
        <f t="shared" si="40"/>
        <v>47100.1</v>
      </c>
      <c r="H492" s="39">
        <f t="shared" si="40"/>
        <v>41569.96</v>
      </c>
      <c r="I492" s="64">
        <f t="shared" si="35"/>
        <v>-5530.139999999999</v>
      </c>
      <c r="J492" s="64">
        <f t="shared" si="36"/>
        <v>88.2587510429914</v>
      </c>
      <c r="K492" s="64">
        <f t="shared" si="41"/>
        <v>3.5744241921251843</v>
      </c>
      <c r="L492" s="64">
        <f t="shared" si="37"/>
        <v>30289.96</v>
      </c>
      <c r="M492" s="64">
        <f t="shared" si="38"/>
        <v>368.52801418439714</v>
      </c>
    </row>
    <row r="493" spans="1:13" ht="63" hidden="1">
      <c r="A493" s="114"/>
      <c r="B493" s="114"/>
      <c r="C493" s="16" t="s">
        <v>33</v>
      </c>
      <c r="D493" s="21" t="s">
        <v>34</v>
      </c>
      <c r="E493" s="39">
        <f t="shared" si="40"/>
        <v>17572.3</v>
      </c>
      <c r="F493" s="39">
        <f t="shared" si="40"/>
        <v>194210.3</v>
      </c>
      <c r="G493" s="39">
        <f t="shared" si="40"/>
        <v>14478.31</v>
      </c>
      <c r="H493" s="39">
        <f t="shared" si="40"/>
        <v>7194.39</v>
      </c>
      <c r="I493" s="64">
        <f t="shared" si="35"/>
        <v>-7283.919999999999</v>
      </c>
      <c r="J493" s="64">
        <f t="shared" si="36"/>
        <v>49.69081336150421</v>
      </c>
      <c r="K493" s="64">
        <f t="shared" si="41"/>
        <v>3.7044327721032304</v>
      </c>
      <c r="L493" s="64">
        <f t="shared" si="37"/>
        <v>-10377.91</v>
      </c>
      <c r="M493" s="64">
        <f t="shared" si="38"/>
        <v>40.94165248715308</v>
      </c>
    </row>
    <row r="494" spans="1:13" ht="15.75" hidden="1">
      <c r="A494" s="114"/>
      <c r="B494" s="114"/>
      <c r="C494" s="18" t="s">
        <v>35</v>
      </c>
      <c r="D494" s="20" t="s">
        <v>36</v>
      </c>
      <c r="E494" s="39">
        <f t="shared" si="40"/>
        <v>7326.2</v>
      </c>
      <c r="F494" s="39">
        <f t="shared" si="40"/>
        <v>136184.3</v>
      </c>
      <c r="G494" s="39">
        <f t="shared" si="40"/>
        <v>7805</v>
      </c>
      <c r="H494" s="39">
        <f t="shared" si="40"/>
        <v>7242.53</v>
      </c>
      <c r="I494" s="64">
        <f t="shared" si="35"/>
        <v>-562.4700000000003</v>
      </c>
      <c r="J494" s="64">
        <f t="shared" si="36"/>
        <v>92.79346572709801</v>
      </c>
      <c r="K494" s="64">
        <f t="shared" si="41"/>
        <v>5.318182786121454</v>
      </c>
      <c r="L494" s="64">
        <f t="shared" si="37"/>
        <v>-83.67000000000007</v>
      </c>
      <c r="M494" s="64">
        <f t="shared" si="38"/>
        <v>98.8579345363217</v>
      </c>
    </row>
    <row r="495" spans="1:13" ht="63" customHeight="1" hidden="1">
      <c r="A495" s="114"/>
      <c r="B495" s="114"/>
      <c r="C495" s="16" t="s">
        <v>148</v>
      </c>
      <c r="D495" s="21" t="s">
        <v>149</v>
      </c>
      <c r="E495" s="39">
        <f t="shared" si="40"/>
        <v>81.2</v>
      </c>
      <c r="F495" s="39">
        <f t="shared" si="40"/>
        <v>2000</v>
      </c>
      <c r="G495" s="39">
        <f t="shared" si="40"/>
        <v>75.7</v>
      </c>
      <c r="H495" s="39">
        <f t="shared" si="40"/>
        <v>149.77</v>
      </c>
      <c r="I495" s="64">
        <f t="shared" si="35"/>
        <v>74.07000000000001</v>
      </c>
      <c r="J495" s="64">
        <f t="shared" si="36"/>
        <v>197.84676354029062</v>
      </c>
      <c r="K495" s="64">
        <f t="shared" si="41"/>
        <v>7.488500000000001</v>
      </c>
      <c r="L495" s="64">
        <f t="shared" si="37"/>
        <v>68.57000000000001</v>
      </c>
      <c r="M495" s="64">
        <f t="shared" si="38"/>
        <v>184.44581280788177</v>
      </c>
    </row>
    <row r="496" spans="1:13" ht="63" customHeight="1" hidden="1">
      <c r="A496" s="114"/>
      <c r="B496" s="114"/>
      <c r="C496" s="16" t="s">
        <v>157</v>
      </c>
      <c r="D496" s="21" t="s">
        <v>158</v>
      </c>
      <c r="E496" s="39">
        <f t="shared" si="40"/>
        <v>36.7</v>
      </c>
      <c r="F496" s="39">
        <f t="shared" si="40"/>
        <v>500</v>
      </c>
      <c r="G496" s="39">
        <f t="shared" si="40"/>
        <v>35</v>
      </c>
      <c r="H496" s="39">
        <f t="shared" si="40"/>
        <v>15.5</v>
      </c>
      <c r="I496" s="64">
        <f t="shared" si="35"/>
        <v>-19.5</v>
      </c>
      <c r="J496" s="64">
        <f t="shared" si="36"/>
        <v>44.285714285714285</v>
      </c>
      <c r="K496" s="64">
        <f t="shared" si="41"/>
        <v>3.1</v>
      </c>
      <c r="L496" s="64">
        <f t="shared" si="37"/>
        <v>-21.200000000000003</v>
      </c>
      <c r="M496" s="64">
        <f t="shared" si="38"/>
        <v>42.23433242506812</v>
      </c>
    </row>
    <row r="497" spans="1:13" ht="63" customHeight="1" hidden="1">
      <c r="A497" s="114"/>
      <c r="B497" s="114"/>
      <c r="C497" s="16" t="s">
        <v>150</v>
      </c>
      <c r="D497" s="21" t="s">
        <v>151</v>
      </c>
      <c r="E497" s="39">
        <f t="shared" si="40"/>
        <v>32.8</v>
      </c>
      <c r="F497" s="39">
        <f t="shared" si="40"/>
        <v>1000</v>
      </c>
      <c r="G497" s="39">
        <f t="shared" si="40"/>
        <v>61</v>
      </c>
      <c r="H497" s="39">
        <f t="shared" si="40"/>
        <v>32.88</v>
      </c>
      <c r="I497" s="64">
        <f t="shared" si="35"/>
        <v>-28.119999999999997</v>
      </c>
      <c r="J497" s="64">
        <f t="shared" si="36"/>
        <v>53.9016393442623</v>
      </c>
      <c r="K497" s="64">
        <f t="shared" si="41"/>
        <v>3.288</v>
      </c>
      <c r="L497" s="64">
        <f t="shared" si="37"/>
        <v>0.0800000000000054</v>
      </c>
      <c r="M497" s="64">
        <f t="shared" si="38"/>
        <v>100.24390243902441</v>
      </c>
    </row>
    <row r="498" spans="1:13" ht="63" customHeight="1" hidden="1">
      <c r="A498" s="114"/>
      <c r="B498" s="114"/>
      <c r="C498" s="16" t="s">
        <v>159</v>
      </c>
      <c r="D498" s="21" t="s">
        <v>160</v>
      </c>
      <c r="E498" s="39">
        <f t="shared" si="40"/>
        <v>19.6</v>
      </c>
      <c r="F498" s="39">
        <f t="shared" si="40"/>
        <v>529.4</v>
      </c>
      <c r="G498" s="39">
        <f t="shared" si="40"/>
        <v>27.9</v>
      </c>
      <c r="H498" s="39">
        <f t="shared" si="40"/>
        <v>15.5</v>
      </c>
      <c r="I498" s="64">
        <f t="shared" si="35"/>
        <v>-12.399999999999999</v>
      </c>
      <c r="J498" s="64">
        <f t="shared" si="36"/>
        <v>55.55555555555556</v>
      </c>
      <c r="K498" s="64">
        <f t="shared" si="41"/>
        <v>2.927842840952021</v>
      </c>
      <c r="L498" s="64">
        <f t="shared" si="37"/>
        <v>-4.100000000000001</v>
      </c>
      <c r="M498" s="64">
        <f t="shared" si="38"/>
        <v>79.08163265306122</v>
      </c>
    </row>
    <row r="499" spans="1:13" ht="31.5" customHeight="1" hidden="1">
      <c r="A499" s="114"/>
      <c r="B499" s="114"/>
      <c r="C499" s="16" t="s">
        <v>60</v>
      </c>
      <c r="D499" s="21" t="s">
        <v>61</v>
      </c>
      <c r="E499" s="39">
        <f t="shared" si="40"/>
        <v>59.5</v>
      </c>
      <c r="F499" s="39">
        <f t="shared" si="40"/>
        <v>0</v>
      </c>
      <c r="G499" s="39">
        <f t="shared" si="40"/>
        <v>0</v>
      </c>
      <c r="H499" s="39">
        <f t="shared" si="40"/>
        <v>0</v>
      </c>
      <c r="I499" s="64">
        <f t="shared" si="35"/>
        <v>0</v>
      </c>
      <c r="J499" s="64" t="e">
        <f t="shared" si="36"/>
        <v>#DIV/0!</v>
      </c>
      <c r="K499" s="64" t="e">
        <f t="shared" si="41"/>
        <v>#DIV/0!</v>
      </c>
      <c r="L499" s="64">
        <f t="shared" si="37"/>
        <v>-59.5</v>
      </c>
      <c r="M499" s="64">
        <f t="shared" si="38"/>
        <v>0</v>
      </c>
    </row>
    <row r="500" spans="1:13" ht="47.25" customHeight="1" hidden="1">
      <c r="A500" s="114"/>
      <c r="B500" s="114"/>
      <c r="C500" s="16" t="s">
        <v>161</v>
      </c>
      <c r="D500" s="21" t="s">
        <v>162</v>
      </c>
      <c r="E500" s="39">
        <f t="shared" si="40"/>
        <v>0</v>
      </c>
      <c r="F500" s="39">
        <f t="shared" si="40"/>
        <v>2.2</v>
      </c>
      <c r="G500" s="39">
        <f t="shared" si="40"/>
        <v>0</v>
      </c>
      <c r="H500" s="39">
        <f t="shared" si="40"/>
        <v>0.3</v>
      </c>
      <c r="I500" s="64">
        <f t="shared" si="35"/>
        <v>0.3</v>
      </c>
      <c r="J500" s="64" t="e">
        <f t="shared" si="36"/>
        <v>#DIV/0!</v>
      </c>
      <c r="K500" s="64">
        <f t="shared" si="41"/>
        <v>13.636363636363635</v>
      </c>
      <c r="L500" s="64">
        <f t="shared" si="37"/>
        <v>0.3</v>
      </c>
      <c r="M500" s="64" t="e">
        <f t="shared" si="38"/>
        <v>#DIV/0!</v>
      </c>
    </row>
    <row r="501" spans="1:13" ht="47.25" customHeight="1" hidden="1">
      <c r="A501" s="114"/>
      <c r="B501" s="114"/>
      <c r="C501" s="16" t="s">
        <v>37</v>
      </c>
      <c r="D501" s="24" t="s">
        <v>38</v>
      </c>
      <c r="E501" s="39">
        <f aca="true" t="shared" si="42" ref="E501:H517">SUMIF($C$6:$C$457,$C501,E$6:E$457)</f>
        <v>0</v>
      </c>
      <c r="F501" s="39">
        <f t="shared" si="42"/>
        <v>0</v>
      </c>
      <c r="G501" s="39">
        <f t="shared" si="42"/>
        <v>0</v>
      </c>
      <c r="H501" s="39">
        <f t="shared" si="42"/>
        <v>0</v>
      </c>
      <c r="I501" s="64">
        <f t="shared" si="35"/>
        <v>0</v>
      </c>
      <c r="J501" s="64" t="e">
        <f t="shared" si="36"/>
        <v>#DIV/0!</v>
      </c>
      <c r="K501" s="64" t="e">
        <f t="shared" si="41"/>
        <v>#DIV/0!</v>
      </c>
      <c r="L501" s="64">
        <f t="shared" si="37"/>
        <v>0</v>
      </c>
      <c r="M501" s="64" t="e">
        <f t="shared" si="38"/>
        <v>#DIV/0!</v>
      </c>
    </row>
    <row r="502" spans="1:13" ht="31.5" customHeight="1" hidden="1">
      <c r="A502" s="114"/>
      <c r="B502" s="114"/>
      <c r="C502" s="16" t="s">
        <v>87</v>
      </c>
      <c r="D502" s="21" t="s">
        <v>88</v>
      </c>
      <c r="E502" s="39">
        <f t="shared" si="42"/>
        <v>102.5</v>
      </c>
      <c r="F502" s="39">
        <f t="shared" si="42"/>
        <v>1400</v>
      </c>
      <c r="G502" s="39">
        <f t="shared" si="42"/>
        <v>42</v>
      </c>
      <c r="H502" s="39">
        <f t="shared" si="42"/>
        <v>0</v>
      </c>
      <c r="I502" s="64">
        <f t="shared" si="35"/>
        <v>-42</v>
      </c>
      <c r="J502" s="64">
        <f t="shared" si="36"/>
        <v>0</v>
      </c>
      <c r="K502" s="64">
        <f t="shared" si="41"/>
        <v>0</v>
      </c>
      <c r="L502" s="64">
        <f t="shared" si="37"/>
        <v>-102.5</v>
      </c>
      <c r="M502" s="64">
        <f t="shared" si="38"/>
        <v>0</v>
      </c>
    </row>
    <row r="503" spans="1:13" ht="31.5" customHeight="1" hidden="1">
      <c r="A503" s="114"/>
      <c r="B503" s="114"/>
      <c r="C503" s="16" t="s">
        <v>218</v>
      </c>
      <c r="D503" s="21" t="s">
        <v>219</v>
      </c>
      <c r="E503" s="39">
        <f t="shared" si="42"/>
        <v>0</v>
      </c>
      <c r="F503" s="39">
        <f t="shared" si="42"/>
        <v>0</v>
      </c>
      <c r="G503" s="39">
        <f t="shared" si="42"/>
        <v>0</v>
      </c>
      <c r="H503" s="39">
        <f t="shared" si="42"/>
        <v>0</v>
      </c>
      <c r="I503" s="64">
        <f t="shared" si="35"/>
        <v>0</v>
      </c>
      <c r="J503" s="64" t="e">
        <f t="shared" si="36"/>
        <v>#DIV/0!</v>
      </c>
      <c r="K503" s="64" t="e">
        <f t="shared" si="41"/>
        <v>#DIV/0!</v>
      </c>
      <c r="L503" s="64">
        <f t="shared" si="37"/>
        <v>0</v>
      </c>
      <c r="M503" s="64" t="e">
        <f t="shared" si="38"/>
        <v>#DIV/0!</v>
      </c>
    </row>
    <row r="504" spans="1:13" ht="31.5" customHeight="1" hidden="1">
      <c r="A504" s="114"/>
      <c r="B504" s="114"/>
      <c r="C504" s="16" t="s">
        <v>89</v>
      </c>
      <c r="D504" s="21" t="s">
        <v>90</v>
      </c>
      <c r="E504" s="39">
        <f t="shared" si="42"/>
        <v>530.7</v>
      </c>
      <c r="F504" s="39">
        <f t="shared" si="42"/>
        <v>1100</v>
      </c>
      <c r="G504" s="39">
        <f t="shared" si="42"/>
        <v>77</v>
      </c>
      <c r="H504" s="39">
        <f t="shared" si="42"/>
        <v>45.88</v>
      </c>
      <c r="I504" s="64">
        <f t="shared" si="35"/>
        <v>-31.119999999999997</v>
      </c>
      <c r="J504" s="64">
        <f t="shared" si="36"/>
        <v>59.58441558441558</v>
      </c>
      <c r="K504" s="64">
        <f t="shared" si="41"/>
        <v>4.170909090909091</v>
      </c>
      <c r="L504" s="64">
        <f t="shared" si="37"/>
        <v>-484.82000000000005</v>
      </c>
      <c r="M504" s="64">
        <f t="shared" si="38"/>
        <v>8.645185603919352</v>
      </c>
    </row>
    <row r="505" spans="1:13" ht="31.5" customHeight="1" hidden="1">
      <c r="A505" s="114"/>
      <c r="B505" s="114"/>
      <c r="C505" s="16" t="s">
        <v>91</v>
      </c>
      <c r="D505" s="21" t="s">
        <v>92</v>
      </c>
      <c r="E505" s="39">
        <f t="shared" si="42"/>
        <v>0</v>
      </c>
      <c r="F505" s="39">
        <f t="shared" si="42"/>
        <v>0</v>
      </c>
      <c r="G505" s="39">
        <f t="shared" si="42"/>
        <v>0</v>
      </c>
      <c r="H505" s="39">
        <f t="shared" si="42"/>
        <v>0</v>
      </c>
      <c r="I505" s="64">
        <f t="shared" si="35"/>
        <v>0</v>
      </c>
      <c r="J505" s="64" t="e">
        <f t="shared" si="36"/>
        <v>#DIV/0!</v>
      </c>
      <c r="K505" s="64" t="e">
        <f t="shared" si="41"/>
        <v>#DIV/0!</v>
      </c>
      <c r="L505" s="64">
        <f t="shared" si="37"/>
        <v>0</v>
      </c>
      <c r="M505" s="64" t="e">
        <f t="shared" si="38"/>
        <v>#DIV/0!</v>
      </c>
    </row>
    <row r="506" spans="1:13" ht="31.5" customHeight="1" hidden="1">
      <c r="A506" s="114"/>
      <c r="B506" s="114"/>
      <c r="C506" s="16" t="s">
        <v>93</v>
      </c>
      <c r="D506" s="21" t="s">
        <v>94</v>
      </c>
      <c r="E506" s="39">
        <f t="shared" si="42"/>
        <v>44</v>
      </c>
      <c r="F506" s="39">
        <f t="shared" si="42"/>
        <v>3553.3</v>
      </c>
      <c r="G506" s="39">
        <f t="shared" si="42"/>
        <v>71.1</v>
      </c>
      <c r="H506" s="39">
        <f t="shared" si="42"/>
        <v>235</v>
      </c>
      <c r="I506" s="64">
        <f t="shared" si="35"/>
        <v>163.9</v>
      </c>
      <c r="J506" s="64">
        <f t="shared" si="36"/>
        <v>330.5203938115331</v>
      </c>
      <c r="K506" s="64">
        <f t="shared" si="41"/>
        <v>6.6135704837756455</v>
      </c>
      <c r="L506" s="64">
        <f t="shared" si="37"/>
        <v>191</v>
      </c>
      <c r="M506" s="64">
        <f t="shared" si="38"/>
        <v>534.0909090909091</v>
      </c>
    </row>
    <row r="507" spans="1:13" ht="31.5" customHeight="1" hidden="1">
      <c r="A507" s="114"/>
      <c r="B507" s="114"/>
      <c r="C507" s="16" t="s">
        <v>193</v>
      </c>
      <c r="D507" s="21" t="s">
        <v>194</v>
      </c>
      <c r="E507" s="39">
        <f t="shared" si="42"/>
        <v>19.6</v>
      </c>
      <c r="F507" s="39">
        <f t="shared" si="42"/>
        <v>729</v>
      </c>
      <c r="G507" s="39">
        <f t="shared" si="42"/>
        <v>23.8</v>
      </c>
      <c r="H507" s="39">
        <f t="shared" si="42"/>
        <v>18.9</v>
      </c>
      <c r="I507" s="64">
        <f t="shared" si="35"/>
        <v>-4.900000000000002</v>
      </c>
      <c r="J507" s="64">
        <f t="shared" si="36"/>
        <v>79.41176470588235</v>
      </c>
      <c r="K507" s="64">
        <f t="shared" si="41"/>
        <v>2.5925925925925926</v>
      </c>
      <c r="L507" s="64">
        <f t="shared" si="37"/>
        <v>-0.7000000000000028</v>
      </c>
      <c r="M507" s="64">
        <f t="shared" si="38"/>
        <v>96.42857142857142</v>
      </c>
    </row>
    <row r="508" spans="1:13" ht="31.5" customHeight="1" hidden="1">
      <c r="A508" s="114"/>
      <c r="B508" s="114"/>
      <c r="C508" s="16" t="s">
        <v>95</v>
      </c>
      <c r="D508" s="21" t="s">
        <v>96</v>
      </c>
      <c r="E508" s="39">
        <f t="shared" si="42"/>
        <v>0</v>
      </c>
      <c r="F508" s="39">
        <f t="shared" si="42"/>
        <v>0</v>
      </c>
      <c r="G508" s="39">
        <f t="shared" si="42"/>
        <v>0</v>
      </c>
      <c r="H508" s="39">
        <f t="shared" si="42"/>
        <v>0</v>
      </c>
      <c r="I508" s="64">
        <f t="shared" si="35"/>
        <v>0</v>
      </c>
      <c r="J508" s="64" t="e">
        <f t="shared" si="36"/>
        <v>#DIV/0!</v>
      </c>
      <c r="K508" s="64" t="e">
        <f t="shared" si="41"/>
        <v>#DIV/0!</v>
      </c>
      <c r="L508" s="64">
        <f t="shared" si="37"/>
        <v>0</v>
      </c>
      <c r="M508" s="64" t="e">
        <f t="shared" si="38"/>
        <v>#DIV/0!</v>
      </c>
    </row>
    <row r="509" spans="1:13" ht="31.5" customHeight="1" hidden="1">
      <c r="A509" s="114"/>
      <c r="B509" s="114"/>
      <c r="C509" s="16" t="s">
        <v>97</v>
      </c>
      <c r="D509" s="21" t="s">
        <v>98</v>
      </c>
      <c r="E509" s="39">
        <f t="shared" si="42"/>
        <v>0</v>
      </c>
      <c r="F509" s="39">
        <f t="shared" si="42"/>
        <v>0</v>
      </c>
      <c r="G509" s="39">
        <f t="shared" si="42"/>
        <v>0</v>
      </c>
      <c r="H509" s="39">
        <f t="shared" si="42"/>
        <v>0</v>
      </c>
      <c r="I509" s="64">
        <f t="shared" si="35"/>
        <v>0</v>
      </c>
      <c r="J509" s="64" t="e">
        <f t="shared" si="36"/>
        <v>#DIV/0!</v>
      </c>
      <c r="K509" s="64" t="e">
        <f t="shared" si="41"/>
        <v>#DIV/0!</v>
      </c>
      <c r="L509" s="64">
        <f t="shared" si="37"/>
        <v>0</v>
      </c>
      <c r="M509" s="64" t="e">
        <f t="shared" si="38"/>
        <v>#DIV/0!</v>
      </c>
    </row>
    <row r="510" spans="1:13" ht="63" customHeight="1" hidden="1">
      <c r="A510" s="114"/>
      <c r="B510" s="114"/>
      <c r="C510" s="16" t="s">
        <v>171</v>
      </c>
      <c r="D510" s="21" t="s">
        <v>172</v>
      </c>
      <c r="E510" s="39">
        <f t="shared" si="42"/>
        <v>1115.2</v>
      </c>
      <c r="F510" s="39">
        <f t="shared" si="42"/>
        <v>9124</v>
      </c>
      <c r="G510" s="39">
        <f t="shared" si="42"/>
        <v>500</v>
      </c>
      <c r="H510" s="39">
        <f t="shared" si="42"/>
        <v>610.99</v>
      </c>
      <c r="I510" s="64">
        <f t="shared" si="35"/>
        <v>110.99000000000001</v>
      </c>
      <c r="J510" s="64">
        <f t="shared" si="36"/>
        <v>122.19800000000001</v>
      </c>
      <c r="K510" s="64">
        <f t="shared" si="41"/>
        <v>6.696514686540992</v>
      </c>
      <c r="L510" s="64">
        <f t="shared" si="37"/>
        <v>-504.21000000000004</v>
      </c>
      <c r="M510" s="64">
        <f t="shared" si="38"/>
        <v>54.787482065997125</v>
      </c>
    </row>
    <row r="511" spans="1:13" ht="31.5" customHeight="1" hidden="1">
      <c r="A511" s="114"/>
      <c r="B511" s="114"/>
      <c r="C511" s="16" t="s">
        <v>140</v>
      </c>
      <c r="D511" s="21" t="s">
        <v>141</v>
      </c>
      <c r="E511" s="39">
        <f t="shared" si="42"/>
        <v>3632.7</v>
      </c>
      <c r="F511" s="39">
        <f t="shared" si="42"/>
        <v>80638.8</v>
      </c>
      <c r="G511" s="39">
        <f t="shared" si="42"/>
        <v>5300.5</v>
      </c>
      <c r="H511" s="39">
        <f t="shared" si="42"/>
        <v>3496.81</v>
      </c>
      <c r="I511" s="64">
        <f t="shared" si="35"/>
        <v>-1803.69</v>
      </c>
      <c r="J511" s="64">
        <f t="shared" si="36"/>
        <v>65.97132346005094</v>
      </c>
      <c r="K511" s="64">
        <f t="shared" si="41"/>
        <v>4.336386454163504</v>
      </c>
      <c r="L511" s="64">
        <f t="shared" si="37"/>
        <v>-135.88999999999987</v>
      </c>
      <c r="M511" s="64">
        <f t="shared" si="38"/>
        <v>96.25925620062213</v>
      </c>
    </row>
    <row r="512" spans="1:13" ht="47.25" customHeight="1" hidden="1">
      <c r="A512" s="114"/>
      <c r="B512" s="114"/>
      <c r="C512" s="16" t="s">
        <v>62</v>
      </c>
      <c r="D512" s="65" t="s">
        <v>63</v>
      </c>
      <c r="E512" s="39">
        <f t="shared" si="42"/>
        <v>0</v>
      </c>
      <c r="F512" s="39">
        <f t="shared" si="42"/>
        <v>0</v>
      </c>
      <c r="G512" s="39">
        <f t="shared" si="42"/>
        <v>0</v>
      </c>
      <c r="H512" s="39">
        <f t="shared" si="42"/>
        <v>0</v>
      </c>
      <c r="I512" s="64">
        <f t="shared" si="35"/>
        <v>0</v>
      </c>
      <c r="J512" s="64" t="e">
        <f t="shared" si="36"/>
        <v>#DIV/0!</v>
      </c>
      <c r="K512" s="64" t="e">
        <f t="shared" si="41"/>
        <v>#DIV/0!</v>
      </c>
      <c r="L512" s="64">
        <f t="shared" si="37"/>
        <v>0</v>
      </c>
      <c r="M512" s="64" t="e">
        <f t="shared" si="38"/>
        <v>#DIV/0!</v>
      </c>
    </row>
    <row r="513" spans="1:13" ht="63" customHeight="1" hidden="1">
      <c r="A513" s="114"/>
      <c r="B513" s="114"/>
      <c r="C513" s="18" t="s">
        <v>75</v>
      </c>
      <c r="D513" s="65" t="s">
        <v>76</v>
      </c>
      <c r="E513" s="39">
        <f t="shared" si="42"/>
        <v>0</v>
      </c>
      <c r="F513" s="39">
        <f t="shared" si="42"/>
        <v>30</v>
      </c>
      <c r="G513" s="39">
        <f t="shared" si="42"/>
        <v>0</v>
      </c>
      <c r="H513" s="39">
        <f t="shared" si="42"/>
        <v>0</v>
      </c>
      <c r="I513" s="64">
        <f t="shared" si="35"/>
        <v>0</v>
      </c>
      <c r="J513" s="64" t="e">
        <f t="shared" si="36"/>
        <v>#DIV/0!</v>
      </c>
      <c r="K513" s="64">
        <f t="shared" si="41"/>
        <v>0</v>
      </c>
      <c r="L513" s="64">
        <f t="shared" si="37"/>
        <v>0</v>
      </c>
      <c r="M513" s="64" t="e">
        <f t="shared" si="38"/>
        <v>#DIV/0!</v>
      </c>
    </row>
    <row r="514" spans="1:13" ht="47.25" customHeight="1" hidden="1">
      <c r="A514" s="114"/>
      <c r="B514" s="114"/>
      <c r="C514" s="16" t="s">
        <v>39</v>
      </c>
      <c r="D514" s="21" t="s">
        <v>40</v>
      </c>
      <c r="E514" s="39">
        <f t="shared" si="42"/>
        <v>1651.7</v>
      </c>
      <c r="F514" s="39">
        <f t="shared" si="42"/>
        <v>35577.6</v>
      </c>
      <c r="G514" s="39">
        <f t="shared" si="42"/>
        <v>1591</v>
      </c>
      <c r="H514" s="39">
        <f t="shared" si="42"/>
        <v>2621</v>
      </c>
      <c r="I514" s="64">
        <f t="shared" si="35"/>
        <v>1030</v>
      </c>
      <c r="J514" s="64">
        <f t="shared" si="36"/>
        <v>164.73915776241356</v>
      </c>
      <c r="K514" s="64">
        <f t="shared" si="41"/>
        <v>7.366994963122863</v>
      </c>
      <c r="L514" s="64">
        <f t="shared" si="37"/>
        <v>969.3</v>
      </c>
      <c r="M514" s="64">
        <f t="shared" si="38"/>
        <v>158.68499122116606</v>
      </c>
    </row>
    <row r="515" spans="1:13" ht="15.75" hidden="1">
      <c r="A515" s="114"/>
      <c r="B515" s="114"/>
      <c r="C515" s="18" t="s">
        <v>41</v>
      </c>
      <c r="D515" s="20" t="s">
        <v>42</v>
      </c>
      <c r="E515" s="39">
        <f t="shared" si="42"/>
        <v>1923.1000000000004</v>
      </c>
      <c r="F515" s="39">
        <f t="shared" si="42"/>
        <v>0</v>
      </c>
      <c r="G515" s="39">
        <f t="shared" si="42"/>
        <v>0</v>
      </c>
      <c r="H515" s="39">
        <f t="shared" si="42"/>
        <v>-2157.67</v>
      </c>
      <c r="I515" s="64">
        <f t="shared" si="35"/>
        <v>-2157.67</v>
      </c>
      <c r="J515" s="64"/>
      <c r="K515" s="64"/>
      <c r="L515" s="64">
        <f t="shared" si="37"/>
        <v>-4080.7700000000004</v>
      </c>
      <c r="M515" s="64">
        <f t="shared" si="38"/>
        <v>-112.19749363007642</v>
      </c>
    </row>
    <row r="516" spans="1:13" ht="15.75" hidden="1">
      <c r="A516" s="114"/>
      <c r="B516" s="114"/>
      <c r="C516" s="18" t="s">
        <v>43</v>
      </c>
      <c r="D516" s="20" t="s">
        <v>181</v>
      </c>
      <c r="E516" s="39">
        <f t="shared" si="42"/>
        <v>7846.400000000001</v>
      </c>
      <c r="F516" s="39">
        <f t="shared" si="42"/>
        <v>145247.8</v>
      </c>
      <c r="G516" s="39">
        <f t="shared" si="42"/>
        <v>11808.9</v>
      </c>
      <c r="H516" s="39">
        <f t="shared" si="42"/>
        <v>1511.57</v>
      </c>
      <c r="I516" s="64">
        <f t="shared" si="35"/>
        <v>-10297.33</v>
      </c>
      <c r="J516" s="64">
        <f t="shared" si="36"/>
        <v>12.800260820228809</v>
      </c>
      <c r="K516" s="64">
        <f t="shared" si="41"/>
        <v>1.0406835766187166</v>
      </c>
      <c r="L516" s="64">
        <f t="shared" si="37"/>
        <v>-6334.830000000001</v>
      </c>
      <c r="M516" s="64">
        <f t="shared" si="38"/>
        <v>19.26450346655791</v>
      </c>
    </row>
    <row r="517" spans="1:13" ht="31.5" customHeight="1" hidden="1">
      <c r="A517" s="114"/>
      <c r="B517" s="114"/>
      <c r="C517" s="18" t="s">
        <v>64</v>
      </c>
      <c r="D517" s="20" t="s">
        <v>65</v>
      </c>
      <c r="E517" s="39">
        <f t="shared" si="42"/>
        <v>0</v>
      </c>
      <c r="F517" s="39">
        <f t="shared" si="42"/>
        <v>0</v>
      </c>
      <c r="G517" s="39">
        <f t="shared" si="42"/>
        <v>0</v>
      </c>
      <c r="H517" s="39">
        <f t="shared" si="42"/>
        <v>0</v>
      </c>
      <c r="I517" s="64">
        <f t="shared" si="35"/>
        <v>0</v>
      </c>
      <c r="J517" s="64" t="e">
        <f t="shared" si="36"/>
        <v>#DIV/0!</v>
      </c>
      <c r="K517" s="64" t="e">
        <f t="shared" si="41"/>
        <v>#DIV/0!</v>
      </c>
      <c r="L517" s="64">
        <f t="shared" si="37"/>
        <v>0</v>
      </c>
      <c r="M517" s="64" t="e">
        <f t="shared" si="38"/>
        <v>#DIV/0!</v>
      </c>
    </row>
    <row r="518" spans="1:13" ht="15.75" customHeight="1" hidden="1">
      <c r="A518" s="114"/>
      <c r="B518" s="114"/>
      <c r="C518" s="18" t="s">
        <v>45</v>
      </c>
      <c r="D518" s="20" t="s">
        <v>46</v>
      </c>
      <c r="E518" s="39"/>
      <c r="F518" s="39">
        <f>SUMIF($C$6:$C$457,$C518,F$6:F$457)</f>
        <v>0</v>
      </c>
      <c r="G518" s="39">
        <f>SUMIF($C$6:$C$457,$C518,G$6:G$457)</f>
        <v>0</v>
      </c>
      <c r="H518" s="39">
        <f>SUMIF($C$6:$C$457,$C518,H$6:H$457)</f>
        <v>0</v>
      </c>
      <c r="I518" s="64">
        <f t="shared" si="35"/>
        <v>0</v>
      </c>
      <c r="J518" s="64"/>
      <c r="K518" s="64"/>
      <c r="L518" s="64">
        <f>H518-E518</f>
        <v>0</v>
      </c>
      <c r="M518" s="64"/>
    </row>
    <row r="519" spans="1:13" s="28" customFormat="1" ht="32.25" customHeight="1" hidden="1">
      <c r="A519" s="114"/>
      <c r="B519" s="114"/>
      <c r="C519" s="36"/>
      <c r="D519" s="26" t="s">
        <v>202</v>
      </c>
      <c r="E519" s="40">
        <f>E466+E480</f>
        <v>862533.7</v>
      </c>
      <c r="F519" s="40">
        <f>F466+F480</f>
        <v>17414833.8</v>
      </c>
      <c r="G519" s="40">
        <f>G466+G480</f>
        <v>947840.6200000001</v>
      </c>
      <c r="H519" s="40">
        <f>H466+H480</f>
        <v>982864.52</v>
      </c>
      <c r="I519" s="63">
        <f t="shared" si="35"/>
        <v>35023.89999999991</v>
      </c>
      <c r="J519" s="63">
        <f t="shared" si="36"/>
        <v>103.69512545263146</v>
      </c>
      <c r="K519" s="63">
        <f aca="true" t="shared" si="43" ref="K519:K530">H519/F519*100</f>
        <v>5.64383519985129</v>
      </c>
      <c r="L519" s="63">
        <f t="shared" si="37"/>
        <v>120330.82000000007</v>
      </c>
      <c r="M519" s="63">
        <f>H519/E519*100</f>
        <v>113.95085432603969</v>
      </c>
    </row>
    <row r="520" spans="1:13" s="28" customFormat="1" ht="32.25" customHeight="1" hidden="1">
      <c r="A520" s="114"/>
      <c r="B520" s="114"/>
      <c r="C520" s="36"/>
      <c r="D520" s="26" t="s">
        <v>220</v>
      </c>
      <c r="E520" s="40">
        <f>E521-E528</f>
        <v>158428.7</v>
      </c>
      <c r="F520" s="40">
        <f>F521-F528</f>
        <v>3847683.446</v>
      </c>
      <c r="G520" s="40">
        <f>G521-G528</f>
        <v>511252.68000000005</v>
      </c>
      <c r="H520" s="40">
        <f>H521-H528</f>
        <v>321147.45000000007</v>
      </c>
      <c r="I520" s="40">
        <f>I521-I528</f>
        <v>-190105.22999999998</v>
      </c>
      <c r="J520" s="63">
        <f t="shared" si="36"/>
        <v>62.81579785557311</v>
      </c>
      <c r="K520" s="63">
        <f t="shared" si="43"/>
        <v>8.346514324972878</v>
      </c>
      <c r="L520" s="63">
        <f>H520-E520</f>
        <v>162718.75000000006</v>
      </c>
      <c r="M520" s="63">
        <f>H520/E520*100</f>
        <v>202.70787426773057</v>
      </c>
    </row>
    <row r="521" spans="1:13" s="28" customFormat="1" ht="31.5" hidden="1">
      <c r="A521" s="114"/>
      <c r="B521" s="114"/>
      <c r="C521" s="36" t="s">
        <v>221</v>
      </c>
      <c r="D521" s="26" t="s">
        <v>222</v>
      </c>
      <c r="E521" s="40">
        <f>SUM(E522:E528)</f>
        <v>-139309.5</v>
      </c>
      <c r="F521" s="40">
        <f>SUM(F522:F528)</f>
        <v>3847683.446</v>
      </c>
      <c r="G521" s="40">
        <f>SUM(G522:G528)</f>
        <v>511252.68000000005</v>
      </c>
      <c r="H521" s="40">
        <f>SUM(H522:H528)</f>
        <v>73186.22000000009</v>
      </c>
      <c r="I521" s="63">
        <f t="shared" si="35"/>
        <v>-438066.45999999996</v>
      </c>
      <c r="J521" s="63">
        <f>H521/G521*100</f>
        <v>14.315078015825772</v>
      </c>
      <c r="K521" s="63">
        <f>H521/F521*100</f>
        <v>1.9020852683731948</v>
      </c>
      <c r="L521" s="63">
        <f>H521-E521</f>
        <v>212495.7200000001</v>
      </c>
      <c r="M521" s="63">
        <f>H521/E521*100</f>
        <v>-52.53498146214012</v>
      </c>
    </row>
    <row r="522" spans="1:13" ht="31.5" customHeight="1" hidden="1">
      <c r="A522" s="114"/>
      <c r="B522" s="114"/>
      <c r="C522" s="18" t="s">
        <v>66</v>
      </c>
      <c r="D522" s="20" t="s">
        <v>67</v>
      </c>
      <c r="E522" s="39">
        <f aca="true" t="shared" si="44" ref="E522:H527">SUMIF($C$6:$C$448,$C522,E$6:E$448)</f>
        <v>0</v>
      </c>
      <c r="F522" s="39">
        <f t="shared" si="44"/>
        <v>0</v>
      </c>
      <c r="G522" s="39">
        <f t="shared" si="44"/>
        <v>0</v>
      </c>
      <c r="H522" s="39">
        <f t="shared" si="44"/>
        <v>0</v>
      </c>
      <c r="I522" s="64">
        <f t="shared" si="35"/>
        <v>0</v>
      </c>
      <c r="J522" s="63" t="e">
        <f t="shared" si="36"/>
        <v>#DIV/0!</v>
      </c>
      <c r="K522" s="64"/>
      <c r="L522" s="64">
        <f t="shared" si="37"/>
        <v>0</v>
      </c>
      <c r="M522" s="64" t="e">
        <f t="shared" si="38"/>
        <v>#DIV/0!</v>
      </c>
    </row>
    <row r="523" spans="1:13" ht="15.75" hidden="1">
      <c r="A523" s="114"/>
      <c r="B523" s="114"/>
      <c r="C523" s="18" t="s">
        <v>47</v>
      </c>
      <c r="D523" s="20" t="s">
        <v>223</v>
      </c>
      <c r="E523" s="39">
        <f t="shared" si="44"/>
        <v>0</v>
      </c>
      <c r="F523" s="39">
        <f t="shared" si="44"/>
        <v>1226195.97</v>
      </c>
      <c r="G523" s="39">
        <f t="shared" si="44"/>
        <v>0</v>
      </c>
      <c r="H523" s="39">
        <f t="shared" si="44"/>
        <v>0</v>
      </c>
      <c r="I523" s="64">
        <f t="shared" si="35"/>
        <v>0</v>
      </c>
      <c r="J523" s="64"/>
      <c r="K523" s="64">
        <f t="shared" si="43"/>
        <v>0</v>
      </c>
      <c r="L523" s="64">
        <f t="shared" si="37"/>
        <v>0</v>
      </c>
      <c r="M523" s="64"/>
    </row>
    <row r="524" spans="1:13" ht="31.5" hidden="1">
      <c r="A524" s="114"/>
      <c r="B524" s="114"/>
      <c r="C524" s="18" t="s">
        <v>49</v>
      </c>
      <c r="D524" s="20" t="s">
        <v>101</v>
      </c>
      <c r="E524" s="39">
        <f t="shared" si="44"/>
        <v>146446.80000000002</v>
      </c>
      <c r="F524" s="39">
        <f t="shared" si="44"/>
        <v>2423723.0760000004</v>
      </c>
      <c r="G524" s="39">
        <f t="shared" si="44"/>
        <v>511252.68000000005</v>
      </c>
      <c r="H524" s="39">
        <f t="shared" si="44"/>
        <v>309165.55000000005</v>
      </c>
      <c r="I524" s="64">
        <f t="shared" si="35"/>
        <v>-202087.13</v>
      </c>
      <c r="J524" s="64">
        <f t="shared" si="36"/>
        <v>60.47216221927678</v>
      </c>
      <c r="K524" s="64">
        <f t="shared" si="43"/>
        <v>12.755811629694612</v>
      </c>
      <c r="L524" s="64">
        <f t="shared" si="37"/>
        <v>162718.75000000003</v>
      </c>
      <c r="M524" s="64">
        <f>H524/E524*100</f>
        <v>211.11116801459642</v>
      </c>
    </row>
    <row r="525" spans="1:13" ht="15.75" hidden="1">
      <c r="A525" s="114"/>
      <c r="B525" s="114"/>
      <c r="C525" s="18" t="s">
        <v>69</v>
      </c>
      <c r="D525" s="21" t="s">
        <v>70</v>
      </c>
      <c r="E525" s="39">
        <f t="shared" si="44"/>
        <v>11981.9</v>
      </c>
      <c r="F525" s="39">
        <f t="shared" si="44"/>
        <v>197764.4</v>
      </c>
      <c r="G525" s="39">
        <f t="shared" si="44"/>
        <v>0</v>
      </c>
      <c r="H525" s="39">
        <f t="shared" si="44"/>
        <v>11981.9</v>
      </c>
      <c r="I525" s="64">
        <f t="shared" si="35"/>
        <v>11981.9</v>
      </c>
      <c r="J525" s="64"/>
      <c r="K525" s="64">
        <f t="shared" si="43"/>
        <v>6.058673856366465</v>
      </c>
      <c r="L525" s="64">
        <f t="shared" si="37"/>
        <v>0</v>
      </c>
      <c r="M525" s="64">
        <f t="shared" si="38"/>
        <v>100</v>
      </c>
    </row>
    <row r="526" spans="1:13" ht="31.5" customHeight="1" hidden="1">
      <c r="A526" s="114"/>
      <c r="B526" s="114"/>
      <c r="C526" s="18" t="s">
        <v>224</v>
      </c>
      <c r="D526" s="19" t="s">
        <v>225</v>
      </c>
      <c r="E526" s="39">
        <f t="shared" si="44"/>
        <v>0</v>
      </c>
      <c r="F526" s="39">
        <f t="shared" si="44"/>
        <v>0</v>
      </c>
      <c r="G526" s="39">
        <f t="shared" si="44"/>
        <v>0</v>
      </c>
      <c r="H526" s="39">
        <f t="shared" si="44"/>
        <v>0</v>
      </c>
      <c r="I526" s="64">
        <f t="shared" si="35"/>
        <v>0</v>
      </c>
      <c r="J526" s="64" t="e">
        <f t="shared" si="36"/>
        <v>#DIV/0!</v>
      </c>
      <c r="K526" s="64"/>
      <c r="L526" s="64">
        <f t="shared" si="37"/>
        <v>0</v>
      </c>
      <c r="M526" s="64" t="e">
        <f t="shared" si="38"/>
        <v>#DIV/0!</v>
      </c>
    </row>
    <row r="527" spans="1:13" ht="15.75" customHeight="1" hidden="1">
      <c r="A527" s="114"/>
      <c r="B527" s="114"/>
      <c r="C527" s="18" t="s">
        <v>80</v>
      </c>
      <c r="D527" s="20" t="s">
        <v>81</v>
      </c>
      <c r="E527" s="39">
        <f t="shared" si="44"/>
        <v>0</v>
      </c>
      <c r="F527" s="39">
        <f t="shared" si="44"/>
        <v>0</v>
      </c>
      <c r="G527" s="39">
        <f t="shared" si="44"/>
        <v>0</v>
      </c>
      <c r="H527" s="39">
        <f t="shared" si="44"/>
        <v>0</v>
      </c>
      <c r="I527" s="64">
        <f t="shared" si="35"/>
        <v>0</v>
      </c>
      <c r="J527" s="64"/>
      <c r="K527" s="64"/>
      <c r="L527" s="64">
        <f t="shared" si="37"/>
        <v>0</v>
      </c>
      <c r="M527" s="64"/>
    </row>
    <row r="528" spans="1:13" ht="15.75" customHeight="1" hidden="1">
      <c r="A528" s="114"/>
      <c r="B528" s="114"/>
      <c r="C528" s="18" t="s">
        <v>51</v>
      </c>
      <c r="D528" s="20" t="s">
        <v>46</v>
      </c>
      <c r="E528" s="39">
        <f>SUMIF($C$6:$C$448,$C528,E$6:E$448)</f>
        <v>-297738.2</v>
      </c>
      <c r="F528" s="39"/>
      <c r="G528" s="39"/>
      <c r="H528" s="39">
        <f>SUMIF($C$6:$C$448,$C528,H$6:H$448)</f>
        <v>-247961.22999999998</v>
      </c>
      <c r="I528" s="64">
        <f t="shared" si="35"/>
        <v>-247961.22999999998</v>
      </c>
      <c r="J528" s="64"/>
      <c r="K528" s="64"/>
      <c r="L528" s="64">
        <f t="shared" si="37"/>
        <v>49776.97000000003</v>
      </c>
      <c r="M528" s="64">
        <f t="shared" si="38"/>
        <v>83.28163131234083</v>
      </c>
    </row>
    <row r="529" spans="1:13" s="28" customFormat="1" ht="36" customHeight="1" hidden="1">
      <c r="A529" s="114"/>
      <c r="B529" s="114"/>
      <c r="C529" s="25"/>
      <c r="D529" s="55" t="s">
        <v>226</v>
      </c>
      <c r="E529" s="40">
        <f>E530-E528</f>
        <v>1020962.3999999999</v>
      </c>
      <c r="F529" s="40">
        <f>F530-F528</f>
        <v>21262517.246</v>
      </c>
      <c r="G529" s="40">
        <f>G530-G528</f>
        <v>1459093.3000000003</v>
      </c>
      <c r="H529" s="40">
        <f>H530-H528</f>
        <v>1304011.9700000002</v>
      </c>
      <c r="I529" s="63">
        <f>H529-G529</f>
        <v>-155081.33000000007</v>
      </c>
      <c r="J529" s="63">
        <f>H529/G529*100</f>
        <v>89.37139043815772</v>
      </c>
      <c r="K529" s="63">
        <f>H529/F529*100</f>
        <v>6.13291434364535</v>
      </c>
      <c r="L529" s="63">
        <f>H529-E529</f>
        <v>283049.5700000003</v>
      </c>
      <c r="M529" s="63">
        <f>H529/E529*100</f>
        <v>127.72379962278733</v>
      </c>
    </row>
    <row r="530" spans="1:13" s="28" customFormat="1" ht="36" customHeight="1" hidden="1">
      <c r="A530" s="114"/>
      <c r="B530" s="114"/>
      <c r="C530" s="25"/>
      <c r="D530" s="55" t="s">
        <v>227</v>
      </c>
      <c r="E530" s="40">
        <f>E519+E521</f>
        <v>723224.2</v>
      </c>
      <c r="F530" s="40">
        <f>F519+F521</f>
        <v>21262517.246</v>
      </c>
      <c r="G530" s="40">
        <f>G519+G521</f>
        <v>1459093.3000000003</v>
      </c>
      <c r="H530" s="40">
        <f>H519+H521</f>
        <v>1056050.7400000002</v>
      </c>
      <c r="I530" s="63">
        <f>H530-G530</f>
        <v>-403042.56000000006</v>
      </c>
      <c r="J530" s="63">
        <f>H530/G530*100</f>
        <v>72.37719068410499</v>
      </c>
      <c r="K530" s="63">
        <f t="shared" si="43"/>
        <v>4.966724907412687</v>
      </c>
      <c r="L530" s="63">
        <f t="shared" si="37"/>
        <v>332826.54000000027</v>
      </c>
      <c r="M530" s="63">
        <f t="shared" si="38"/>
        <v>146.0198289824926</v>
      </c>
    </row>
    <row r="531" spans="1:13" s="28" customFormat="1" ht="51" customHeight="1" hidden="1">
      <c r="A531" s="66"/>
      <c r="B531" s="66"/>
      <c r="C531" s="36"/>
      <c r="D531" s="26" t="s">
        <v>205</v>
      </c>
      <c r="E531" s="56">
        <f>E532</f>
        <v>0</v>
      </c>
      <c r="F531" s="56">
        <f>F532</f>
        <v>0</v>
      </c>
      <c r="G531" s="56">
        <f>G532</f>
        <v>0</v>
      </c>
      <c r="H531" s="56">
        <f>H532</f>
        <v>0</v>
      </c>
      <c r="I531" s="63">
        <f t="shared" si="35"/>
        <v>0</v>
      </c>
      <c r="J531" s="63"/>
      <c r="K531" s="63"/>
      <c r="L531" s="63">
        <f t="shared" si="37"/>
        <v>0</v>
      </c>
      <c r="M531" s="63"/>
    </row>
    <row r="532" spans="1:13" ht="31.5" customHeight="1" hidden="1">
      <c r="A532" s="42"/>
      <c r="B532" s="42"/>
      <c r="C532" s="16" t="s">
        <v>206</v>
      </c>
      <c r="D532" s="21" t="s">
        <v>207</v>
      </c>
      <c r="E532" s="39">
        <f>SUMIF($C$6:$C$457,$C532,E$6:E$457)</f>
        <v>0</v>
      </c>
      <c r="F532" s="49">
        <f>F457</f>
        <v>0</v>
      </c>
      <c r="G532" s="49">
        <f>G457</f>
        <v>0</v>
      </c>
      <c r="H532" s="39">
        <f>SUMIF($C$6:$C$457,$C532,H$6:H$457)</f>
        <v>0</v>
      </c>
      <c r="I532" s="63">
        <f t="shared" si="35"/>
        <v>0</v>
      </c>
      <c r="J532" s="63"/>
      <c r="K532" s="64"/>
      <c r="L532" s="63">
        <f>H532-E532</f>
        <v>0</v>
      </c>
      <c r="M532" s="63"/>
    </row>
    <row r="533" spans="1:11" ht="15.75" hidden="1">
      <c r="A533" s="57"/>
      <c r="B533" s="57"/>
      <c r="C533" s="58"/>
      <c r="D533" s="6"/>
      <c r="E533" s="67"/>
      <c r="F533" s="67"/>
      <c r="G533" s="67"/>
      <c r="H533" s="59"/>
      <c r="I533" s="68"/>
      <c r="J533" s="9"/>
      <c r="K533" s="9"/>
    </row>
    <row r="534" spans="1:11" ht="15.75">
      <c r="A534" s="57"/>
      <c r="B534" s="57"/>
      <c r="C534" s="58"/>
      <c r="D534" s="6"/>
      <c r="E534" s="67"/>
      <c r="F534" s="67"/>
      <c r="G534" s="67"/>
      <c r="H534" s="59"/>
      <c r="I534" s="68"/>
      <c r="J534" s="9"/>
      <c r="K534" s="9"/>
    </row>
    <row r="535" spans="1:11" ht="15.75">
      <c r="A535" s="57"/>
      <c r="B535" s="57"/>
      <c r="C535" s="58"/>
      <c r="D535" s="6"/>
      <c r="E535" s="67"/>
      <c r="F535" s="67"/>
      <c r="G535" s="67"/>
      <c r="H535" s="59"/>
      <c r="I535" s="68"/>
      <c r="J535" s="9"/>
      <c r="K535" s="9"/>
    </row>
    <row r="536" spans="1:9" ht="15.75">
      <c r="A536" s="69"/>
      <c r="B536" s="70"/>
      <c r="C536" s="71"/>
      <c r="D536" s="72"/>
      <c r="E536" s="73"/>
      <c r="F536" s="73"/>
      <c r="G536" s="73"/>
      <c r="H536" s="73"/>
      <c r="I536" s="74"/>
    </row>
    <row r="537" spans="1:9" ht="15.75">
      <c r="A537" s="69"/>
      <c r="B537" s="70"/>
      <c r="C537" s="71"/>
      <c r="D537" s="72"/>
      <c r="E537" s="73"/>
      <c r="F537" s="73"/>
      <c r="G537" s="73"/>
      <c r="H537" s="73"/>
      <c r="I537" s="74"/>
    </row>
    <row r="538" spans="1:9" ht="15.75">
      <c r="A538" s="69"/>
      <c r="B538" s="70"/>
      <c r="C538" s="71"/>
      <c r="D538" s="72"/>
      <c r="E538" s="73"/>
      <c r="F538" s="73"/>
      <c r="G538" s="73"/>
      <c r="H538" s="73"/>
      <c r="I538" s="74"/>
    </row>
    <row r="539" spans="1:9" ht="15.75">
      <c r="A539" s="69"/>
      <c r="B539" s="70"/>
      <c r="C539" s="71"/>
      <c r="D539" s="72"/>
      <c r="E539" s="73"/>
      <c r="F539" s="73"/>
      <c r="G539" s="73"/>
      <c r="H539" s="73"/>
      <c r="I539" s="74"/>
    </row>
    <row r="540" spans="1:9" ht="15.75">
      <c r="A540" s="69"/>
      <c r="B540" s="70"/>
      <c r="C540" s="71"/>
      <c r="D540" s="72"/>
      <c r="E540" s="73"/>
      <c r="F540" s="73"/>
      <c r="G540" s="73"/>
      <c r="H540" s="73"/>
      <c r="I540" s="74"/>
    </row>
    <row r="541" spans="1:8" ht="15.75">
      <c r="A541" s="75"/>
      <c r="B541" s="70"/>
      <c r="C541" s="71"/>
      <c r="D541" s="72"/>
      <c r="E541" s="73"/>
      <c r="F541" s="73"/>
      <c r="G541" s="73"/>
      <c r="H541" s="73"/>
    </row>
    <row r="542" spans="1:8" ht="15.75">
      <c r="A542" s="75"/>
      <c r="B542" s="70"/>
      <c r="C542" s="71"/>
      <c r="D542" s="72"/>
      <c r="E542" s="73"/>
      <c r="F542" s="73"/>
      <c r="G542" s="73"/>
      <c r="H542" s="73"/>
    </row>
    <row r="543" spans="1:8" ht="15.75">
      <c r="A543" s="75"/>
      <c r="B543" s="70"/>
      <c r="C543" s="71"/>
      <c r="D543" s="72"/>
      <c r="E543" s="73"/>
      <c r="F543" s="73"/>
      <c r="G543" s="73"/>
      <c r="H543" s="73"/>
    </row>
    <row r="544" spans="1:8" ht="15.75">
      <c r="A544" s="75"/>
      <c r="B544" s="70"/>
      <c r="C544" s="71"/>
      <c r="D544" s="72"/>
      <c r="E544" s="73"/>
      <c r="F544" s="73"/>
      <c r="G544" s="73"/>
      <c r="H544" s="73"/>
    </row>
    <row r="545" spans="1:8" ht="15.75">
      <c r="A545" s="75"/>
      <c r="B545" s="70"/>
      <c r="C545" s="71"/>
      <c r="D545" s="72"/>
      <c r="E545" s="73"/>
      <c r="F545" s="73"/>
      <c r="G545" s="73"/>
      <c r="H545" s="73"/>
    </row>
    <row r="546" spans="1:8" ht="15.75">
      <c r="A546" s="75"/>
      <c r="B546" s="70"/>
      <c r="C546" s="71"/>
      <c r="D546" s="72"/>
      <c r="E546" s="73"/>
      <c r="F546" s="73"/>
      <c r="G546" s="73"/>
      <c r="H546" s="73"/>
    </row>
    <row r="547" spans="1:8" ht="15.75">
      <c r="A547" s="75"/>
      <c r="B547" s="70"/>
      <c r="C547" s="71"/>
      <c r="D547" s="72"/>
      <c r="E547" s="73"/>
      <c r="F547" s="73"/>
      <c r="G547" s="73"/>
      <c r="H547" s="73"/>
    </row>
    <row r="548" spans="1:8" ht="15.75">
      <c r="A548" s="75"/>
      <c r="B548" s="70"/>
      <c r="C548" s="71"/>
      <c r="D548" s="72"/>
      <c r="E548" s="73"/>
      <c r="F548" s="73"/>
      <c r="G548" s="73"/>
      <c r="H548" s="73"/>
    </row>
    <row r="549" spans="1:8" ht="15.75">
      <c r="A549" s="75"/>
      <c r="B549" s="70"/>
      <c r="C549" s="71"/>
      <c r="D549" s="72"/>
      <c r="E549" s="73"/>
      <c r="F549" s="73"/>
      <c r="G549" s="73"/>
      <c r="H549" s="73"/>
    </row>
    <row r="550" spans="1:8" ht="15.75">
      <c r="A550" s="75"/>
      <c r="B550" s="70"/>
      <c r="C550" s="71"/>
      <c r="D550" s="72"/>
      <c r="E550" s="73"/>
      <c r="F550" s="73"/>
      <c r="G550" s="73"/>
      <c r="H550" s="73"/>
    </row>
    <row r="551" spans="1:8" ht="15.75">
      <c r="A551" s="75"/>
      <c r="B551" s="70"/>
      <c r="C551" s="71"/>
      <c r="D551" s="72"/>
      <c r="E551" s="73"/>
      <c r="F551" s="73"/>
      <c r="G551" s="73"/>
      <c r="H551" s="73"/>
    </row>
    <row r="552" spans="1:8" ht="15.75">
      <c r="A552" s="75"/>
      <c r="B552" s="70"/>
      <c r="C552" s="71"/>
      <c r="D552" s="72"/>
      <c r="E552" s="73"/>
      <c r="F552" s="73"/>
      <c r="G552" s="73"/>
      <c r="H552" s="73"/>
    </row>
    <row r="553" spans="1:8" ht="15.75">
      <c r="A553" s="75"/>
      <c r="B553" s="70"/>
      <c r="C553" s="71"/>
      <c r="D553" s="72"/>
      <c r="E553" s="73"/>
      <c r="F553" s="73"/>
      <c r="G553" s="73"/>
      <c r="H553" s="73"/>
    </row>
    <row r="554" spans="1:8" ht="15.75">
      <c r="A554" s="75"/>
      <c r="B554" s="70"/>
      <c r="C554" s="71"/>
      <c r="D554" s="72"/>
      <c r="E554" s="73"/>
      <c r="F554" s="73"/>
      <c r="G554" s="73"/>
      <c r="H554" s="73"/>
    </row>
    <row r="555" spans="1:8" ht="15.75">
      <c r="A555" s="75"/>
      <c r="B555" s="70"/>
      <c r="C555" s="71"/>
      <c r="D555" s="72"/>
      <c r="E555" s="73"/>
      <c r="F555" s="73"/>
      <c r="G555" s="73"/>
      <c r="H555" s="73"/>
    </row>
    <row r="556" spans="1:8" ht="15.75">
      <c r="A556" s="75"/>
      <c r="B556" s="70"/>
      <c r="C556" s="71"/>
      <c r="D556" s="72"/>
      <c r="E556" s="73"/>
      <c r="F556" s="73"/>
      <c r="G556" s="73"/>
      <c r="H556" s="73"/>
    </row>
    <row r="557" spans="1:8" ht="15.75">
      <c r="A557" s="75"/>
      <c r="B557" s="70"/>
      <c r="C557" s="71"/>
      <c r="D557" s="72"/>
      <c r="E557" s="73"/>
      <c r="F557" s="73"/>
      <c r="G557" s="73"/>
      <c r="H557" s="73"/>
    </row>
    <row r="558" spans="1:8" ht="15.75">
      <c r="A558" s="75"/>
      <c r="B558" s="70"/>
      <c r="C558" s="71"/>
      <c r="D558" s="72"/>
      <c r="E558" s="73"/>
      <c r="F558" s="73"/>
      <c r="G558" s="73"/>
      <c r="H558" s="73"/>
    </row>
    <row r="559" spans="1:8" ht="15.75">
      <c r="A559" s="75"/>
      <c r="B559" s="70"/>
      <c r="C559" s="71"/>
      <c r="D559" s="72"/>
      <c r="E559" s="73"/>
      <c r="F559" s="73"/>
      <c r="G559" s="73"/>
      <c r="H559" s="73"/>
    </row>
    <row r="560" spans="1:8" ht="15.75">
      <c r="A560" s="75"/>
      <c r="B560" s="70"/>
      <c r="C560" s="71"/>
      <c r="D560" s="72"/>
      <c r="E560" s="73"/>
      <c r="F560" s="73"/>
      <c r="G560" s="73"/>
      <c r="H560" s="73"/>
    </row>
    <row r="561" spans="1:8" ht="15.75">
      <c r="A561" s="75"/>
      <c r="B561" s="70"/>
      <c r="C561" s="71"/>
      <c r="D561" s="72"/>
      <c r="E561" s="73"/>
      <c r="F561" s="73"/>
      <c r="G561" s="73"/>
      <c r="H561" s="73"/>
    </row>
    <row r="562" spans="1:8" ht="15.75">
      <c r="A562" s="75"/>
      <c r="B562" s="70"/>
      <c r="C562" s="71"/>
      <c r="D562" s="72"/>
      <c r="E562" s="73"/>
      <c r="F562" s="73"/>
      <c r="G562" s="73"/>
      <c r="H562" s="73"/>
    </row>
    <row r="563" spans="1:8" ht="15.75">
      <c r="A563" s="75"/>
      <c r="B563" s="70"/>
      <c r="C563" s="71"/>
      <c r="D563" s="72"/>
      <c r="E563" s="73"/>
      <c r="F563" s="73"/>
      <c r="G563" s="73"/>
      <c r="H563" s="73"/>
    </row>
    <row r="564" spans="1:8" ht="15.75">
      <c r="A564" s="75"/>
      <c r="B564" s="70"/>
      <c r="C564" s="71"/>
      <c r="D564" s="72"/>
      <c r="E564" s="73"/>
      <c r="F564" s="73"/>
      <c r="G564" s="73"/>
      <c r="H564" s="73"/>
    </row>
    <row r="565" spans="2:8" ht="15.75">
      <c r="B565" s="76"/>
      <c r="C565" s="71"/>
      <c r="D565" s="72"/>
      <c r="E565" s="73"/>
      <c r="F565" s="73"/>
      <c r="G565" s="73"/>
      <c r="H565" s="73"/>
    </row>
    <row r="566" spans="2:8" ht="15.75">
      <c r="B566" s="76"/>
      <c r="C566" s="71"/>
      <c r="D566" s="72"/>
      <c r="E566" s="73"/>
      <c r="F566" s="73"/>
      <c r="G566" s="73"/>
      <c r="H566" s="73"/>
    </row>
    <row r="567" spans="2:8" ht="15.75">
      <c r="B567" s="76"/>
      <c r="C567" s="71"/>
      <c r="D567" s="72"/>
      <c r="E567" s="73"/>
      <c r="F567" s="73"/>
      <c r="G567" s="73"/>
      <c r="H567" s="73"/>
    </row>
    <row r="568" spans="2:8" ht="15.75">
      <c r="B568" s="76"/>
      <c r="C568" s="71"/>
      <c r="D568" s="72"/>
      <c r="E568" s="73"/>
      <c r="F568" s="73"/>
      <c r="G568" s="73"/>
      <c r="H568" s="73"/>
    </row>
    <row r="569" spans="2:8" ht="15.75">
      <c r="B569" s="76"/>
      <c r="C569" s="71"/>
      <c r="D569" s="72"/>
      <c r="E569" s="73"/>
      <c r="F569" s="73"/>
      <c r="G569" s="73"/>
      <c r="H569" s="73"/>
    </row>
    <row r="570" spans="2:8" ht="15.75">
      <c r="B570" s="76"/>
      <c r="C570" s="71"/>
      <c r="D570" s="72"/>
      <c r="E570" s="73"/>
      <c r="F570" s="73"/>
      <c r="G570" s="73"/>
      <c r="H570" s="73"/>
    </row>
    <row r="571" spans="2:8" ht="15.75">
      <c r="B571" s="76"/>
      <c r="C571" s="71"/>
      <c r="D571" s="72"/>
      <c r="E571" s="73"/>
      <c r="F571" s="73"/>
      <c r="G571" s="73"/>
      <c r="H571" s="73"/>
    </row>
    <row r="572" spans="2:8" ht="15.75">
      <c r="B572" s="76"/>
      <c r="C572" s="71"/>
      <c r="D572" s="72"/>
      <c r="E572" s="73"/>
      <c r="F572" s="73"/>
      <c r="G572" s="73"/>
      <c r="H572" s="73"/>
    </row>
    <row r="573" spans="2:8" ht="15.75">
      <c r="B573" s="76"/>
      <c r="C573" s="71"/>
      <c r="D573" s="72"/>
      <c r="E573" s="73"/>
      <c r="F573" s="73"/>
      <c r="G573" s="73"/>
      <c r="H573" s="73"/>
    </row>
    <row r="574" spans="2:8" ht="15.75">
      <c r="B574" s="76"/>
      <c r="C574" s="71"/>
      <c r="D574" s="72"/>
      <c r="E574" s="73"/>
      <c r="F574" s="73"/>
      <c r="G574" s="73"/>
      <c r="H574" s="73"/>
    </row>
    <row r="575" spans="2:8" ht="15.75">
      <c r="B575" s="76"/>
      <c r="C575" s="71"/>
      <c r="D575" s="72"/>
      <c r="E575" s="73"/>
      <c r="F575" s="73"/>
      <c r="G575" s="73"/>
      <c r="H575" s="73"/>
    </row>
    <row r="576" spans="2:8" ht="15.75">
      <c r="B576" s="76"/>
      <c r="C576" s="71"/>
      <c r="D576" s="72"/>
      <c r="E576" s="73"/>
      <c r="F576" s="73"/>
      <c r="G576" s="73"/>
      <c r="H576" s="73"/>
    </row>
    <row r="577" spans="2:8" ht="15.75">
      <c r="B577" s="76"/>
      <c r="C577" s="71"/>
      <c r="D577" s="72"/>
      <c r="E577" s="73"/>
      <c r="F577" s="73"/>
      <c r="G577" s="73"/>
      <c r="H577" s="73"/>
    </row>
    <row r="578" spans="2:8" ht="15.75">
      <c r="B578" s="76"/>
      <c r="C578" s="71"/>
      <c r="D578" s="72"/>
      <c r="E578" s="73"/>
      <c r="F578" s="73"/>
      <c r="G578" s="73"/>
      <c r="H578" s="73"/>
    </row>
    <row r="579" spans="2:8" ht="15.75">
      <c r="B579" s="76"/>
      <c r="C579" s="71"/>
      <c r="D579" s="72"/>
      <c r="E579" s="73"/>
      <c r="F579" s="73"/>
      <c r="G579" s="73"/>
      <c r="H579" s="73"/>
    </row>
    <row r="580" spans="2:8" ht="15.75">
      <c r="B580" s="76"/>
      <c r="C580" s="71"/>
      <c r="D580" s="72"/>
      <c r="E580" s="73"/>
      <c r="F580" s="73"/>
      <c r="G580" s="73"/>
      <c r="H580" s="73"/>
    </row>
    <row r="581" spans="2:8" ht="15.75">
      <c r="B581" s="76"/>
      <c r="C581" s="71"/>
      <c r="D581" s="72"/>
      <c r="E581" s="73"/>
      <c r="F581" s="73"/>
      <c r="G581" s="73"/>
      <c r="H581" s="73"/>
    </row>
    <row r="582" spans="2:8" ht="15.75">
      <c r="B582" s="76"/>
      <c r="C582" s="71"/>
      <c r="D582" s="72"/>
      <c r="E582" s="73"/>
      <c r="F582" s="73"/>
      <c r="G582" s="73"/>
      <c r="H582" s="73"/>
    </row>
    <row r="583" spans="2:8" ht="15.75">
      <c r="B583" s="76"/>
      <c r="C583" s="71"/>
      <c r="D583" s="72"/>
      <c r="E583" s="73"/>
      <c r="F583" s="73"/>
      <c r="G583" s="73"/>
      <c r="H583" s="73"/>
    </row>
    <row r="584" spans="2:8" ht="15.75">
      <c r="B584" s="76"/>
      <c r="C584" s="71"/>
      <c r="D584" s="72"/>
      <c r="E584" s="73"/>
      <c r="F584" s="73"/>
      <c r="G584" s="73"/>
      <c r="H584" s="73"/>
    </row>
    <row r="585" spans="2:8" ht="15.75">
      <c r="B585" s="76"/>
      <c r="C585" s="71"/>
      <c r="D585" s="72"/>
      <c r="E585" s="73"/>
      <c r="F585" s="73"/>
      <c r="G585" s="73"/>
      <c r="H585" s="73"/>
    </row>
    <row r="586" spans="2:8" ht="15.75">
      <c r="B586" s="76"/>
      <c r="C586" s="71"/>
      <c r="D586" s="72"/>
      <c r="E586" s="73"/>
      <c r="F586" s="73"/>
      <c r="G586" s="73"/>
      <c r="H586" s="73"/>
    </row>
    <row r="587" spans="2:8" ht="15.75">
      <c r="B587" s="76"/>
      <c r="C587" s="71"/>
      <c r="D587" s="72"/>
      <c r="E587" s="73"/>
      <c r="F587" s="73"/>
      <c r="G587" s="73"/>
      <c r="H587" s="73"/>
    </row>
    <row r="588" spans="2:8" ht="15.75">
      <c r="B588" s="76"/>
      <c r="C588" s="71"/>
      <c r="D588" s="72"/>
      <c r="E588" s="73"/>
      <c r="F588" s="73"/>
      <c r="G588" s="73"/>
      <c r="H588" s="73"/>
    </row>
    <row r="589" spans="2:8" ht="15.75">
      <c r="B589" s="76"/>
      <c r="C589" s="71"/>
      <c r="D589" s="72"/>
      <c r="E589" s="73"/>
      <c r="F589" s="73"/>
      <c r="G589" s="73"/>
      <c r="H589" s="73"/>
    </row>
    <row r="590" spans="2:8" ht="15.75">
      <c r="B590" s="76"/>
      <c r="C590" s="71"/>
      <c r="D590" s="72"/>
      <c r="E590" s="73"/>
      <c r="F590" s="73"/>
      <c r="G590" s="73"/>
      <c r="H590" s="73"/>
    </row>
    <row r="591" spans="2:8" ht="15.75">
      <c r="B591" s="76"/>
      <c r="C591" s="71"/>
      <c r="D591" s="72"/>
      <c r="E591" s="73"/>
      <c r="F591" s="73"/>
      <c r="G591" s="73"/>
      <c r="H591" s="73"/>
    </row>
    <row r="592" spans="2:8" ht="15.75">
      <c r="B592" s="76"/>
      <c r="C592" s="71"/>
      <c r="D592" s="72"/>
      <c r="E592" s="73"/>
      <c r="F592" s="73"/>
      <c r="G592" s="73"/>
      <c r="H592" s="73"/>
    </row>
    <row r="593" spans="2:8" ht="15.75">
      <c r="B593" s="76"/>
      <c r="C593" s="71"/>
      <c r="D593" s="72"/>
      <c r="E593" s="73"/>
      <c r="F593" s="73"/>
      <c r="G593" s="73"/>
      <c r="H593" s="73"/>
    </row>
    <row r="594" spans="2:8" ht="15.75">
      <c r="B594" s="76"/>
      <c r="C594" s="71"/>
      <c r="D594" s="72"/>
      <c r="E594" s="73"/>
      <c r="F594" s="73"/>
      <c r="G594" s="73"/>
      <c r="H594" s="73"/>
    </row>
    <row r="595" spans="2:8" ht="15.75">
      <c r="B595" s="76"/>
      <c r="C595" s="71"/>
      <c r="D595" s="72"/>
      <c r="E595" s="73"/>
      <c r="F595" s="73"/>
      <c r="G595" s="73"/>
      <c r="H595" s="73"/>
    </row>
    <row r="596" spans="2:8" ht="15.75">
      <c r="B596" s="76"/>
      <c r="C596" s="71"/>
      <c r="D596" s="72"/>
      <c r="E596" s="73"/>
      <c r="F596" s="73"/>
      <c r="G596" s="73"/>
      <c r="H596" s="73"/>
    </row>
    <row r="597" spans="2:8" ht="15.75">
      <c r="B597" s="76"/>
      <c r="C597" s="71"/>
      <c r="D597" s="72"/>
      <c r="E597" s="73"/>
      <c r="F597" s="73"/>
      <c r="G597" s="73"/>
      <c r="H597" s="73"/>
    </row>
    <row r="598" spans="2:8" ht="15.75">
      <c r="B598" s="76"/>
      <c r="C598" s="71"/>
      <c r="D598" s="72"/>
      <c r="E598" s="73"/>
      <c r="F598" s="73"/>
      <c r="G598" s="73"/>
      <c r="H598" s="73"/>
    </row>
    <row r="599" spans="2:8" ht="15.75">
      <c r="B599" s="76"/>
      <c r="C599" s="71"/>
      <c r="D599" s="72"/>
      <c r="E599" s="73"/>
      <c r="F599" s="73"/>
      <c r="G599" s="73"/>
      <c r="H599" s="73"/>
    </row>
    <row r="600" spans="2:8" ht="15.75">
      <c r="B600" s="76"/>
      <c r="C600" s="71"/>
      <c r="D600" s="72"/>
      <c r="E600" s="73"/>
      <c r="F600" s="73"/>
      <c r="G600" s="73"/>
      <c r="H600" s="73"/>
    </row>
    <row r="601" spans="2:8" ht="15.75">
      <c r="B601" s="76"/>
      <c r="C601" s="71"/>
      <c r="D601" s="72"/>
      <c r="E601" s="73"/>
      <c r="F601" s="73"/>
      <c r="G601" s="73"/>
      <c r="H601" s="73"/>
    </row>
    <row r="602" spans="2:8" ht="15.75">
      <c r="B602" s="76"/>
      <c r="C602" s="71"/>
      <c r="D602" s="72"/>
      <c r="E602" s="73"/>
      <c r="F602" s="73"/>
      <c r="G602" s="73"/>
      <c r="H602" s="73"/>
    </row>
    <row r="603" spans="2:8" ht="15.75">
      <c r="B603" s="76"/>
      <c r="C603" s="71"/>
      <c r="D603" s="72"/>
      <c r="E603" s="73"/>
      <c r="F603" s="73"/>
      <c r="G603" s="73"/>
      <c r="H603" s="73"/>
    </row>
    <row r="604" spans="2:8" ht="15.75">
      <c r="B604" s="76"/>
      <c r="C604" s="71"/>
      <c r="D604" s="72"/>
      <c r="E604" s="73"/>
      <c r="F604" s="73"/>
      <c r="G604" s="73"/>
      <c r="H604" s="73"/>
    </row>
    <row r="605" spans="2:8" ht="15.75">
      <c r="B605" s="76"/>
      <c r="C605" s="71"/>
      <c r="D605" s="72"/>
      <c r="E605" s="73"/>
      <c r="F605" s="73"/>
      <c r="G605" s="73"/>
      <c r="H605" s="73"/>
    </row>
    <row r="606" spans="2:8" ht="15.75">
      <c r="B606" s="76"/>
      <c r="C606" s="71"/>
      <c r="D606" s="72"/>
      <c r="E606" s="73"/>
      <c r="F606" s="73"/>
      <c r="G606" s="73"/>
      <c r="H606" s="73"/>
    </row>
    <row r="607" spans="2:8" ht="15.75">
      <c r="B607" s="76"/>
      <c r="C607" s="71"/>
      <c r="D607" s="72"/>
      <c r="E607" s="73"/>
      <c r="F607" s="73"/>
      <c r="G607" s="73"/>
      <c r="H607" s="73"/>
    </row>
    <row r="608" spans="2:8" ht="15.75">
      <c r="B608" s="76"/>
      <c r="C608" s="71"/>
      <c r="D608" s="72"/>
      <c r="E608" s="73"/>
      <c r="F608" s="73"/>
      <c r="G608" s="73"/>
      <c r="H608" s="73"/>
    </row>
    <row r="609" spans="2:8" ht="15.75">
      <c r="B609" s="76"/>
      <c r="C609" s="71"/>
      <c r="D609" s="72"/>
      <c r="E609" s="73"/>
      <c r="F609" s="73"/>
      <c r="G609" s="73"/>
      <c r="H609" s="73"/>
    </row>
    <row r="610" spans="2:8" ht="15.75">
      <c r="B610" s="76"/>
      <c r="C610" s="71"/>
      <c r="D610" s="72"/>
      <c r="E610" s="73"/>
      <c r="F610" s="73"/>
      <c r="G610" s="73"/>
      <c r="H610" s="73"/>
    </row>
    <row r="611" spans="2:8" ht="15.75">
      <c r="B611" s="76"/>
      <c r="C611" s="71"/>
      <c r="D611" s="72"/>
      <c r="E611" s="73"/>
      <c r="F611" s="73"/>
      <c r="G611" s="73"/>
      <c r="H611" s="73"/>
    </row>
    <row r="612" spans="2:8" ht="15.75">
      <c r="B612" s="76"/>
      <c r="C612" s="71"/>
      <c r="D612" s="72"/>
      <c r="E612" s="73"/>
      <c r="F612" s="73"/>
      <c r="G612" s="73"/>
      <c r="H612" s="73"/>
    </row>
    <row r="613" spans="2:8" ht="15.75">
      <c r="B613" s="76"/>
      <c r="C613" s="71"/>
      <c r="D613" s="72"/>
      <c r="E613" s="73"/>
      <c r="F613" s="73"/>
      <c r="G613" s="73"/>
      <c r="H613" s="73"/>
    </row>
    <row r="614" spans="2:8" ht="15.75">
      <c r="B614" s="76"/>
      <c r="C614" s="71"/>
      <c r="D614" s="72"/>
      <c r="E614" s="73"/>
      <c r="F614" s="73"/>
      <c r="G614" s="73"/>
      <c r="H614" s="73"/>
    </row>
    <row r="615" spans="2:8" ht="15.75">
      <c r="B615" s="76"/>
      <c r="C615" s="71"/>
      <c r="D615" s="72"/>
      <c r="E615" s="73"/>
      <c r="F615" s="73"/>
      <c r="G615" s="73"/>
      <c r="H615" s="73"/>
    </row>
    <row r="616" spans="2:8" ht="15.75">
      <c r="B616" s="76"/>
      <c r="C616" s="71"/>
      <c r="D616" s="77"/>
      <c r="E616" s="73"/>
      <c r="F616" s="73"/>
      <c r="G616" s="73"/>
      <c r="H616" s="73"/>
    </row>
    <row r="617" spans="2:8" ht="15.75">
      <c r="B617" s="76"/>
      <c r="C617" s="71"/>
      <c r="D617" s="77"/>
      <c r="E617" s="73"/>
      <c r="F617" s="73"/>
      <c r="G617" s="73"/>
      <c r="H617" s="73"/>
    </row>
    <row r="618" spans="2:8" ht="15.75">
      <c r="B618" s="76"/>
      <c r="C618" s="71"/>
      <c r="D618" s="77"/>
      <c r="E618" s="73"/>
      <c r="F618" s="73"/>
      <c r="G618" s="73"/>
      <c r="H618" s="73"/>
    </row>
    <row r="619" spans="2:8" ht="15.75">
      <c r="B619" s="76"/>
      <c r="C619" s="71"/>
      <c r="D619" s="77"/>
      <c r="E619" s="73"/>
      <c r="F619" s="73"/>
      <c r="G619" s="73"/>
      <c r="H619" s="73"/>
    </row>
    <row r="620" spans="2:8" ht="15.75">
      <c r="B620" s="76"/>
      <c r="C620" s="71"/>
      <c r="D620" s="77"/>
      <c r="E620" s="73"/>
      <c r="F620" s="73"/>
      <c r="G620" s="73"/>
      <c r="H620" s="73"/>
    </row>
    <row r="621" spans="2:8" ht="15.75">
      <c r="B621" s="76"/>
      <c r="C621" s="71"/>
      <c r="D621" s="77"/>
      <c r="E621" s="73"/>
      <c r="F621" s="73"/>
      <c r="G621" s="73"/>
      <c r="H621" s="73"/>
    </row>
    <row r="622" spans="2:8" ht="15.75">
      <c r="B622" s="76"/>
      <c r="C622" s="71"/>
      <c r="D622" s="77"/>
      <c r="E622" s="73"/>
      <c r="F622" s="73"/>
      <c r="G622" s="73"/>
      <c r="H622" s="73"/>
    </row>
    <row r="623" spans="2:8" ht="15.75">
      <c r="B623" s="76"/>
      <c r="C623" s="71"/>
      <c r="D623" s="77"/>
      <c r="E623" s="73"/>
      <c r="F623" s="73"/>
      <c r="G623" s="73"/>
      <c r="H623" s="73"/>
    </row>
    <row r="624" spans="2:8" ht="15.75">
      <c r="B624" s="76"/>
      <c r="C624" s="71"/>
      <c r="D624" s="77"/>
      <c r="E624" s="73"/>
      <c r="F624" s="73"/>
      <c r="G624" s="73"/>
      <c r="H624" s="73"/>
    </row>
    <row r="625" spans="2:8" ht="15.75">
      <c r="B625" s="76"/>
      <c r="C625" s="71"/>
      <c r="D625" s="77"/>
      <c r="E625" s="73"/>
      <c r="F625" s="73"/>
      <c r="G625" s="73"/>
      <c r="H625" s="73"/>
    </row>
    <row r="626" spans="2:8" ht="15.75">
      <c r="B626" s="76"/>
      <c r="C626" s="71"/>
      <c r="D626" s="77"/>
      <c r="E626" s="73"/>
      <c r="F626" s="73"/>
      <c r="G626" s="73"/>
      <c r="H626" s="73"/>
    </row>
    <row r="627" spans="2:8" ht="15.75">
      <c r="B627" s="76"/>
      <c r="C627" s="71"/>
      <c r="D627" s="77"/>
      <c r="E627" s="73"/>
      <c r="F627" s="73"/>
      <c r="G627" s="73"/>
      <c r="H627" s="73"/>
    </row>
    <row r="628" spans="2:8" ht="15.75">
      <c r="B628" s="76"/>
      <c r="C628" s="71"/>
      <c r="D628" s="77"/>
      <c r="E628" s="73"/>
      <c r="F628" s="73"/>
      <c r="G628" s="73"/>
      <c r="H628" s="73"/>
    </row>
    <row r="629" spans="2:8" ht="15.75">
      <c r="B629" s="76"/>
      <c r="C629" s="71"/>
      <c r="D629" s="77"/>
      <c r="E629" s="73"/>
      <c r="F629" s="73"/>
      <c r="G629" s="73"/>
      <c r="H629" s="73"/>
    </row>
    <row r="630" spans="2:8" ht="15.75">
      <c r="B630" s="76"/>
      <c r="C630" s="71"/>
      <c r="D630" s="77"/>
      <c r="E630" s="73"/>
      <c r="F630" s="73"/>
      <c r="G630" s="73"/>
      <c r="H630" s="73"/>
    </row>
    <row r="631" spans="2:8" ht="15.75">
      <c r="B631" s="76"/>
      <c r="C631" s="71"/>
      <c r="D631" s="77"/>
      <c r="E631" s="73"/>
      <c r="F631" s="73"/>
      <c r="G631" s="73"/>
      <c r="H631" s="73"/>
    </row>
    <row r="632" spans="2:8" ht="15.75">
      <c r="B632" s="76"/>
      <c r="C632" s="71"/>
      <c r="D632" s="77"/>
      <c r="E632" s="73"/>
      <c r="F632" s="73"/>
      <c r="G632" s="73"/>
      <c r="H632" s="73"/>
    </row>
    <row r="633" spans="2:8" ht="15.75">
      <c r="B633" s="76"/>
      <c r="C633" s="71"/>
      <c r="D633" s="77"/>
      <c r="E633" s="73"/>
      <c r="F633" s="73"/>
      <c r="G633" s="73"/>
      <c r="H633" s="73"/>
    </row>
    <row r="634" spans="2:8" ht="15.75">
      <c r="B634" s="76"/>
      <c r="C634" s="71"/>
      <c r="D634" s="77"/>
      <c r="E634" s="73"/>
      <c r="F634" s="73"/>
      <c r="G634" s="73"/>
      <c r="H634" s="73"/>
    </row>
    <row r="635" spans="2:8" ht="15.75">
      <c r="B635" s="76"/>
      <c r="C635" s="71"/>
      <c r="D635" s="77"/>
      <c r="E635" s="73"/>
      <c r="F635" s="73"/>
      <c r="G635" s="73"/>
      <c r="H635" s="73"/>
    </row>
    <row r="636" spans="2:8" ht="15.75">
      <c r="B636" s="76"/>
      <c r="C636" s="71"/>
      <c r="D636" s="77"/>
      <c r="E636" s="73"/>
      <c r="F636" s="73"/>
      <c r="G636" s="73"/>
      <c r="H636" s="73"/>
    </row>
    <row r="637" spans="2:8" ht="15.75">
      <c r="B637" s="76"/>
      <c r="C637" s="71"/>
      <c r="D637" s="77"/>
      <c r="E637" s="73"/>
      <c r="F637" s="73"/>
      <c r="G637" s="73"/>
      <c r="H637" s="73"/>
    </row>
    <row r="638" spans="2:8" ht="15.75">
      <c r="B638" s="76"/>
      <c r="C638" s="71"/>
      <c r="D638" s="77"/>
      <c r="E638" s="73"/>
      <c r="F638" s="73"/>
      <c r="G638" s="73"/>
      <c r="H638" s="73"/>
    </row>
    <row r="639" spans="2:8" ht="15.75">
      <c r="B639" s="76"/>
      <c r="C639" s="71"/>
      <c r="D639" s="77"/>
      <c r="E639" s="73"/>
      <c r="F639" s="73"/>
      <c r="G639" s="73"/>
      <c r="H639" s="73"/>
    </row>
    <row r="640" spans="2:8" ht="15.75">
      <c r="B640" s="76"/>
      <c r="C640" s="71"/>
      <c r="D640" s="77"/>
      <c r="E640" s="73"/>
      <c r="F640" s="73"/>
      <c r="G640" s="73"/>
      <c r="H640" s="73"/>
    </row>
    <row r="641" spans="2:8" ht="15.75">
      <c r="B641" s="76"/>
      <c r="C641" s="71"/>
      <c r="D641" s="77"/>
      <c r="E641" s="73"/>
      <c r="F641" s="73"/>
      <c r="G641" s="73"/>
      <c r="H641" s="73"/>
    </row>
    <row r="642" spans="2:8" ht="15.75">
      <c r="B642" s="76"/>
      <c r="C642" s="71"/>
      <c r="D642" s="77"/>
      <c r="E642" s="73"/>
      <c r="F642" s="73"/>
      <c r="G642" s="73"/>
      <c r="H642" s="73"/>
    </row>
    <row r="643" spans="2:8" ht="15.75">
      <c r="B643" s="76"/>
      <c r="C643" s="71"/>
      <c r="D643" s="77"/>
      <c r="E643" s="73"/>
      <c r="F643" s="73"/>
      <c r="G643" s="73"/>
      <c r="H643" s="73"/>
    </row>
    <row r="644" spans="2:8" ht="15.75">
      <c r="B644" s="76"/>
      <c r="C644" s="71"/>
      <c r="D644" s="77"/>
      <c r="E644" s="73"/>
      <c r="F644" s="73"/>
      <c r="G644" s="73"/>
      <c r="H644" s="73"/>
    </row>
    <row r="645" spans="2:8" ht="15.75">
      <c r="B645" s="76"/>
      <c r="C645" s="71"/>
      <c r="D645" s="77"/>
      <c r="E645" s="73"/>
      <c r="F645" s="73"/>
      <c r="G645" s="73"/>
      <c r="H645" s="73"/>
    </row>
    <row r="646" spans="2:8" ht="15.75">
      <c r="B646" s="76"/>
      <c r="C646" s="71"/>
      <c r="D646" s="77"/>
      <c r="E646" s="73"/>
      <c r="F646" s="73"/>
      <c r="G646" s="73"/>
      <c r="H646" s="73"/>
    </row>
    <row r="647" spans="2:8" ht="15.75">
      <c r="B647" s="76"/>
      <c r="C647" s="71"/>
      <c r="D647" s="77"/>
      <c r="E647" s="73"/>
      <c r="F647" s="73"/>
      <c r="G647" s="73"/>
      <c r="H647" s="73"/>
    </row>
    <row r="648" spans="2:8" ht="15.75">
      <c r="B648" s="76"/>
      <c r="C648" s="71"/>
      <c r="D648" s="77"/>
      <c r="E648" s="73"/>
      <c r="F648" s="73"/>
      <c r="G648" s="73"/>
      <c r="H648" s="73"/>
    </row>
    <row r="649" spans="2:8" ht="15.75">
      <c r="B649" s="76"/>
      <c r="C649" s="71"/>
      <c r="D649" s="77"/>
      <c r="E649" s="73"/>
      <c r="F649" s="73"/>
      <c r="G649" s="73"/>
      <c r="H649" s="73"/>
    </row>
    <row r="650" spans="2:8" ht="15.75">
      <c r="B650" s="76"/>
      <c r="C650" s="71"/>
      <c r="D650" s="77"/>
      <c r="E650" s="73"/>
      <c r="F650" s="73"/>
      <c r="G650" s="73"/>
      <c r="H650" s="73"/>
    </row>
    <row r="651" spans="2:8" ht="15.75">
      <c r="B651" s="76"/>
      <c r="C651" s="71"/>
      <c r="D651" s="77"/>
      <c r="E651" s="73"/>
      <c r="F651" s="73"/>
      <c r="G651" s="73"/>
      <c r="H651" s="73"/>
    </row>
    <row r="652" spans="2:8" ht="15.75">
      <c r="B652" s="76"/>
      <c r="C652" s="71"/>
      <c r="D652" s="77"/>
      <c r="E652" s="73"/>
      <c r="F652" s="73"/>
      <c r="G652" s="73"/>
      <c r="H652" s="73"/>
    </row>
    <row r="653" spans="2:8" ht="15.75">
      <c r="B653" s="76"/>
      <c r="C653" s="71"/>
      <c r="D653" s="77"/>
      <c r="E653" s="73"/>
      <c r="F653" s="73"/>
      <c r="G653" s="73"/>
      <c r="H653" s="73"/>
    </row>
    <row r="654" spans="2:8" ht="15.75">
      <c r="B654" s="76"/>
      <c r="C654" s="71"/>
      <c r="D654" s="77"/>
      <c r="E654" s="73"/>
      <c r="F654" s="73"/>
      <c r="G654" s="73"/>
      <c r="H654" s="73"/>
    </row>
    <row r="655" spans="2:8" ht="15.75">
      <c r="B655" s="76"/>
      <c r="C655" s="71"/>
      <c r="D655" s="77"/>
      <c r="E655" s="73"/>
      <c r="F655" s="73"/>
      <c r="G655" s="73"/>
      <c r="H655" s="73"/>
    </row>
    <row r="656" spans="2:8" ht="15.75">
      <c r="B656" s="76"/>
      <c r="C656" s="71"/>
      <c r="D656" s="77"/>
      <c r="E656" s="73"/>
      <c r="F656" s="73"/>
      <c r="G656" s="73"/>
      <c r="H656" s="73"/>
    </row>
    <row r="657" spans="2:8" ht="15.75">
      <c r="B657" s="76"/>
      <c r="C657" s="71"/>
      <c r="D657" s="77"/>
      <c r="E657" s="73"/>
      <c r="F657" s="73"/>
      <c r="G657" s="73"/>
      <c r="H657" s="73"/>
    </row>
    <row r="658" spans="2:8" ht="15.75">
      <c r="B658" s="76"/>
      <c r="C658" s="71"/>
      <c r="D658" s="77"/>
      <c r="E658" s="73"/>
      <c r="F658" s="73"/>
      <c r="G658" s="73"/>
      <c r="H658" s="73"/>
    </row>
    <row r="659" spans="2:8" ht="15.75">
      <c r="B659" s="76"/>
      <c r="C659" s="71"/>
      <c r="D659" s="77"/>
      <c r="E659" s="73"/>
      <c r="F659" s="73"/>
      <c r="G659" s="73"/>
      <c r="H659" s="73"/>
    </row>
    <row r="660" spans="2:8" ht="15.75">
      <c r="B660" s="76"/>
      <c r="C660" s="71"/>
      <c r="D660" s="77"/>
      <c r="E660" s="73"/>
      <c r="F660" s="73"/>
      <c r="G660" s="73"/>
      <c r="H660" s="73"/>
    </row>
    <row r="661" spans="2:8" ht="15.75">
      <c r="B661" s="76"/>
      <c r="C661" s="71"/>
      <c r="D661" s="77"/>
      <c r="E661" s="73"/>
      <c r="F661" s="73"/>
      <c r="G661" s="73"/>
      <c r="H661" s="73"/>
    </row>
    <row r="662" spans="2:8" ht="15.75">
      <c r="B662" s="76"/>
      <c r="C662" s="71"/>
      <c r="D662" s="77"/>
      <c r="E662" s="73"/>
      <c r="F662" s="73"/>
      <c r="G662" s="73"/>
      <c r="H662" s="73"/>
    </row>
    <row r="663" spans="2:8" ht="15.75">
      <c r="B663" s="76"/>
      <c r="C663" s="71"/>
      <c r="D663" s="77"/>
      <c r="E663" s="73"/>
      <c r="F663" s="73"/>
      <c r="G663" s="73"/>
      <c r="H663" s="73"/>
    </row>
    <row r="664" spans="2:8" ht="15.75">
      <c r="B664" s="76"/>
      <c r="C664" s="71"/>
      <c r="D664" s="77"/>
      <c r="E664" s="73"/>
      <c r="F664" s="73"/>
      <c r="G664" s="73"/>
      <c r="H664" s="73"/>
    </row>
    <row r="665" spans="2:8" ht="15.75">
      <c r="B665" s="76"/>
      <c r="C665" s="71"/>
      <c r="D665" s="77"/>
      <c r="E665" s="73"/>
      <c r="F665" s="73"/>
      <c r="G665" s="73"/>
      <c r="H665" s="73"/>
    </row>
    <row r="666" spans="2:8" ht="15.75">
      <c r="B666" s="76"/>
      <c r="C666" s="71"/>
      <c r="D666" s="77"/>
      <c r="E666" s="73"/>
      <c r="F666" s="73"/>
      <c r="G666" s="73"/>
      <c r="H666" s="73"/>
    </row>
    <row r="667" spans="2:8" ht="15.75">
      <c r="B667" s="76"/>
      <c r="C667" s="71"/>
      <c r="D667" s="77"/>
      <c r="E667" s="73"/>
      <c r="F667" s="73"/>
      <c r="G667" s="73"/>
      <c r="H667" s="73"/>
    </row>
    <row r="668" spans="2:8" ht="15.75">
      <c r="B668" s="76"/>
      <c r="C668" s="71"/>
      <c r="D668" s="77"/>
      <c r="E668" s="73"/>
      <c r="F668" s="73"/>
      <c r="G668" s="73"/>
      <c r="H668" s="73"/>
    </row>
    <row r="669" spans="2:8" ht="15.75">
      <c r="B669" s="76"/>
      <c r="C669" s="71"/>
      <c r="D669" s="77"/>
      <c r="E669" s="73"/>
      <c r="F669" s="73"/>
      <c r="G669" s="73"/>
      <c r="H669" s="73"/>
    </row>
    <row r="670" spans="2:8" ht="15.75">
      <c r="B670" s="76"/>
      <c r="C670" s="71"/>
      <c r="D670" s="77"/>
      <c r="E670" s="73"/>
      <c r="F670" s="73"/>
      <c r="G670" s="73"/>
      <c r="H670" s="73"/>
    </row>
    <row r="671" spans="2:8" ht="15.75">
      <c r="B671" s="76"/>
      <c r="C671" s="71"/>
      <c r="D671" s="77"/>
      <c r="E671" s="73"/>
      <c r="F671" s="73"/>
      <c r="G671" s="73"/>
      <c r="H671" s="73"/>
    </row>
    <row r="672" spans="2:8" ht="15.75">
      <c r="B672" s="76"/>
      <c r="C672" s="71"/>
      <c r="D672" s="77"/>
      <c r="E672" s="73"/>
      <c r="F672" s="73"/>
      <c r="G672" s="73"/>
      <c r="H672" s="73"/>
    </row>
    <row r="673" spans="2:8" ht="15.75">
      <c r="B673" s="76"/>
      <c r="C673" s="71"/>
      <c r="D673" s="77"/>
      <c r="E673" s="73"/>
      <c r="F673" s="73"/>
      <c r="G673" s="73"/>
      <c r="H673" s="73"/>
    </row>
    <row r="674" spans="2:8" ht="15.75">
      <c r="B674" s="76"/>
      <c r="C674" s="71"/>
      <c r="D674" s="77"/>
      <c r="E674" s="73"/>
      <c r="F674" s="73"/>
      <c r="G674" s="73"/>
      <c r="H674" s="73"/>
    </row>
    <row r="675" spans="2:8" ht="15.75">
      <c r="B675" s="76"/>
      <c r="C675" s="71"/>
      <c r="D675" s="77"/>
      <c r="E675" s="73"/>
      <c r="F675" s="73"/>
      <c r="G675" s="73"/>
      <c r="H675" s="73"/>
    </row>
    <row r="676" spans="2:8" ht="15.75">
      <c r="B676" s="76"/>
      <c r="C676" s="71"/>
      <c r="D676" s="77"/>
      <c r="E676" s="73"/>
      <c r="F676" s="73"/>
      <c r="G676" s="73"/>
      <c r="H676" s="73"/>
    </row>
    <row r="677" spans="2:8" ht="15.75">
      <c r="B677" s="76"/>
      <c r="C677" s="71"/>
      <c r="D677" s="77"/>
      <c r="E677" s="73"/>
      <c r="F677" s="73"/>
      <c r="G677" s="73"/>
      <c r="H677" s="73"/>
    </row>
    <row r="678" spans="2:8" ht="15.75">
      <c r="B678" s="76"/>
      <c r="C678" s="71"/>
      <c r="D678" s="77"/>
      <c r="E678" s="73"/>
      <c r="F678" s="73"/>
      <c r="G678" s="73"/>
      <c r="H678" s="73"/>
    </row>
    <row r="679" spans="2:8" ht="15.75">
      <c r="B679" s="76"/>
      <c r="C679" s="71"/>
      <c r="D679" s="77"/>
      <c r="E679" s="73"/>
      <c r="F679" s="73"/>
      <c r="G679" s="73"/>
      <c r="H679" s="73"/>
    </row>
    <row r="680" spans="2:8" ht="15.75">
      <c r="B680" s="76"/>
      <c r="C680" s="71"/>
      <c r="D680" s="77"/>
      <c r="E680" s="73"/>
      <c r="F680" s="73"/>
      <c r="G680" s="73"/>
      <c r="H680" s="73"/>
    </row>
    <row r="681" spans="2:8" ht="15.75">
      <c r="B681" s="76"/>
      <c r="C681" s="71"/>
      <c r="D681" s="77"/>
      <c r="E681" s="73"/>
      <c r="F681" s="73"/>
      <c r="G681" s="73"/>
      <c r="H681" s="73"/>
    </row>
    <row r="682" spans="2:8" ht="15.75">
      <c r="B682" s="76"/>
      <c r="C682" s="71"/>
      <c r="D682" s="77"/>
      <c r="E682" s="73"/>
      <c r="F682" s="73"/>
      <c r="G682" s="73"/>
      <c r="H682" s="73"/>
    </row>
    <row r="683" spans="2:8" ht="15.75">
      <c r="B683" s="76"/>
      <c r="C683" s="71"/>
      <c r="D683" s="77"/>
      <c r="E683" s="73"/>
      <c r="F683" s="73"/>
      <c r="G683" s="73"/>
      <c r="H683" s="73"/>
    </row>
    <row r="684" spans="2:8" ht="15.75">
      <c r="B684" s="76"/>
      <c r="C684" s="71"/>
      <c r="D684" s="77"/>
      <c r="E684" s="73"/>
      <c r="F684" s="73"/>
      <c r="G684" s="73"/>
      <c r="H684" s="73"/>
    </row>
    <row r="685" spans="2:8" ht="15.75">
      <c r="B685" s="76"/>
      <c r="C685" s="71"/>
      <c r="D685" s="77"/>
      <c r="E685" s="73"/>
      <c r="F685" s="73"/>
      <c r="G685" s="73"/>
      <c r="H685" s="73"/>
    </row>
    <row r="686" spans="2:8" ht="15.75">
      <c r="B686" s="76"/>
      <c r="C686" s="71"/>
      <c r="D686" s="77"/>
      <c r="E686" s="73"/>
      <c r="F686" s="73"/>
      <c r="G686" s="73"/>
      <c r="H686" s="73"/>
    </row>
    <row r="687" spans="2:8" ht="15.75">
      <c r="B687" s="76"/>
      <c r="C687" s="71"/>
      <c r="D687" s="77"/>
      <c r="E687" s="73"/>
      <c r="F687" s="73"/>
      <c r="G687" s="73"/>
      <c r="H687" s="73"/>
    </row>
    <row r="688" spans="2:8" ht="15.75">
      <c r="B688" s="76"/>
      <c r="C688" s="71"/>
      <c r="D688" s="77"/>
      <c r="E688" s="73"/>
      <c r="F688" s="73"/>
      <c r="G688" s="73"/>
      <c r="H688" s="73"/>
    </row>
    <row r="689" spans="2:8" ht="15.75">
      <c r="B689" s="76"/>
      <c r="C689" s="71"/>
      <c r="D689" s="77"/>
      <c r="E689" s="73"/>
      <c r="F689" s="73"/>
      <c r="G689" s="73"/>
      <c r="H689" s="73"/>
    </row>
    <row r="690" spans="2:8" ht="15.75">
      <c r="B690" s="76"/>
      <c r="C690" s="71"/>
      <c r="D690" s="77"/>
      <c r="E690" s="73"/>
      <c r="F690" s="73"/>
      <c r="G690" s="73"/>
      <c r="H690" s="73"/>
    </row>
    <row r="691" spans="2:8" ht="15.75">
      <c r="B691" s="76"/>
      <c r="C691" s="71"/>
      <c r="D691" s="77"/>
      <c r="E691" s="73"/>
      <c r="F691" s="73"/>
      <c r="G691" s="73"/>
      <c r="H691" s="73"/>
    </row>
    <row r="692" spans="2:8" ht="15.75">
      <c r="B692" s="76"/>
      <c r="C692" s="71"/>
      <c r="D692" s="77"/>
      <c r="E692" s="73"/>
      <c r="F692" s="73"/>
      <c r="G692" s="73"/>
      <c r="H692" s="73"/>
    </row>
    <row r="693" spans="2:8" ht="15.75">
      <c r="B693" s="76"/>
      <c r="C693" s="71"/>
      <c r="D693" s="77"/>
      <c r="E693" s="73"/>
      <c r="F693" s="73"/>
      <c r="G693" s="73"/>
      <c r="H693" s="73"/>
    </row>
    <row r="694" spans="2:8" ht="15.75">
      <c r="B694" s="76"/>
      <c r="C694" s="71"/>
      <c r="D694" s="77"/>
      <c r="E694" s="73"/>
      <c r="F694" s="73"/>
      <c r="G694" s="73"/>
      <c r="H694" s="73"/>
    </row>
    <row r="695" spans="2:8" ht="15.75">
      <c r="B695" s="76"/>
      <c r="C695" s="71"/>
      <c r="D695" s="77"/>
      <c r="E695" s="73"/>
      <c r="F695" s="73"/>
      <c r="G695" s="73"/>
      <c r="H695" s="73"/>
    </row>
    <row r="696" spans="2:8" ht="15.75">
      <c r="B696" s="76"/>
      <c r="C696" s="71"/>
      <c r="D696" s="77"/>
      <c r="E696" s="73"/>
      <c r="F696" s="73"/>
      <c r="G696" s="73"/>
      <c r="H696" s="73"/>
    </row>
    <row r="697" spans="2:8" ht="15.75">
      <c r="B697" s="76"/>
      <c r="C697" s="71"/>
      <c r="D697" s="77"/>
      <c r="E697" s="73"/>
      <c r="F697" s="73"/>
      <c r="G697" s="73"/>
      <c r="H697" s="73"/>
    </row>
    <row r="698" spans="2:8" ht="15.75">
      <c r="B698" s="76"/>
      <c r="C698" s="71"/>
      <c r="D698" s="77"/>
      <c r="E698" s="73"/>
      <c r="F698" s="73"/>
      <c r="G698" s="73"/>
      <c r="H698" s="73"/>
    </row>
    <row r="699" spans="2:8" ht="15.75">
      <c r="B699" s="76"/>
      <c r="C699" s="71"/>
      <c r="D699" s="77"/>
      <c r="E699" s="73"/>
      <c r="F699" s="73"/>
      <c r="G699" s="73"/>
      <c r="H699" s="73"/>
    </row>
    <row r="700" spans="2:8" ht="15.75">
      <c r="B700" s="76"/>
      <c r="C700" s="71"/>
      <c r="D700" s="77"/>
      <c r="E700" s="73"/>
      <c r="F700" s="73"/>
      <c r="G700" s="73"/>
      <c r="H700" s="73"/>
    </row>
    <row r="701" spans="2:8" ht="15.75">
      <c r="B701" s="76"/>
      <c r="C701" s="71"/>
      <c r="D701" s="77"/>
      <c r="E701" s="73"/>
      <c r="F701" s="73"/>
      <c r="G701" s="73"/>
      <c r="H701" s="73"/>
    </row>
    <row r="702" spans="2:8" ht="15.75">
      <c r="B702" s="76"/>
      <c r="C702" s="71"/>
      <c r="D702" s="77"/>
      <c r="E702" s="73"/>
      <c r="F702" s="73"/>
      <c r="G702" s="73"/>
      <c r="H702" s="73"/>
    </row>
    <row r="703" spans="2:8" ht="15.75">
      <c r="B703" s="76"/>
      <c r="C703" s="71"/>
      <c r="D703" s="77"/>
      <c r="E703" s="73"/>
      <c r="F703" s="73"/>
      <c r="G703" s="73"/>
      <c r="H703" s="73"/>
    </row>
    <row r="704" spans="2:8" ht="15.75">
      <c r="B704" s="76"/>
      <c r="C704" s="71"/>
      <c r="D704" s="77"/>
      <c r="E704" s="73"/>
      <c r="F704" s="73"/>
      <c r="G704" s="73"/>
      <c r="H704" s="73"/>
    </row>
    <row r="705" spans="2:8" ht="15.75">
      <c r="B705" s="76"/>
      <c r="C705" s="71"/>
      <c r="D705" s="77"/>
      <c r="E705" s="73"/>
      <c r="F705" s="73"/>
      <c r="G705" s="73"/>
      <c r="H705" s="73"/>
    </row>
    <row r="706" spans="2:8" ht="15.75">
      <c r="B706" s="76"/>
      <c r="C706" s="71"/>
      <c r="D706" s="77"/>
      <c r="E706" s="73"/>
      <c r="F706" s="73"/>
      <c r="G706" s="73"/>
      <c r="H706" s="73"/>
    </row>
    <row r="707" spans="2:8" ht="15.75">
      <c r="B707" s="76"/>
      <c r="C707" s="71"/>
      <c r="D707" s="77"/>
      <c r="E707" s="73"/>
      <c r="F707" s="73"/>
      <c r="G707" s="73"/>
      <c r="H707" s="73"/>
    </row>
    <row r="708" spans="2:8" ht="15.75">
      <c r="B708" s="76"/>
      <c r="C708" s="71"/>
      <c r="D708" s="77"/>
      <c r="E708" s="73"/>
      <c r="F708" s="73"/>
      <c r="G708" s="73"/>
      <c r="H708" s="73"/>
    </row>
    <row r="709" spans="2:8" ht="15.75">
      <c r="B709" s="76"/>
      <c r="C709" s="71"/>
      <c r="D709" s="77"/>
      <c r="E709" s="73"/>
      <c r="F709" s="73"/>
      <c r="G709" s="73"/>
      <c r="H709" s="73"/>
    </row>
    <row r="710" spans="2:8" ht="15.75">
      <c r="B710" s="76"/>
      <c r="C710" s="71"/>
      <c r="D710" s="77"/>
      <c r="E710" s="73"/>
      <c r="F710" s="73"/>
      <c r="G710" s="73"/>
      <c r="H710" s="73"/>
    </row>
    <row r="711" spans="2:8" ht="15.75">
      <c r="B711" s="76"/>
      <c r="C711" s="71"/>
      <c r="D711" s="77"/>
      <c r="E711" s="73"/>
      <c r="F711" s="73"/>
      <c r="G711" s="73"/>
      <c r="H711" s="73"/>
    </row>
    <row r="712" spans="2:8" ht="15.75">
      <c r="B712" s="76"/>
      <c r="C712" s="71"/>
      <c r="D712" s="77"/>
      <c r="E712" s="73"/>
      <c r="F712" s="73"/>
      <c r="G712" s="73"/>
      <c r="H712" s="73"/>
    </row>
    <row r="713" spans="2:8" ht="15.75">
      <c r="B713" s="76"/>
      <c r="C713" s="71"/>
      <c r="D713" s="77"/>
      <c r="E713" s="73"/>
      <c r="F713" s="73"/>
      <c r="G713" s="73"/>
      <c r="H713" s="73"/>
    </row>
    <row r="714" spans="2:8" ht="15.75">
      <c r="B714" s="76"/>
      <c r="C714" s="71"/>
      <c r="D714" s="77"/>
      <c r="E714" s="73"/>
      <c r="F714" s="73"/>
      <c r="G714" s="73"/>
      <c r="H714" s="73"/>
    </row>
    <row r="715" spans="2:8" ht="15.75">
      <c r="B715" s="76"/>
      <c r="C715" s="71"/>
      <c r="D715" s="77"/>
      <c r="E715" s="73"/>
      <c r="F715" s="73"/>
      <c r="G715" s="73"/>
      <c r="H715" s="73"/>
    </row>
    <row r="716" spans="2:8" ht="15.75">
      <c r="B716" s="76"/>
      <c r="C716" s="71"/>
      <c r="D716" s="77"/>
      <c r="E716" s="73"/>
      <c r="F716" s="73"/>
      <c r="G716" s="73"/>
      <c r="H716" s="73"/>
    </row>
    <row r="717" spans="2:8" ht="15.75">
      <c r="B717" s="76"/>
      <c r="C717" s="71"/>
      <c r="D717" s="77"/>
      <c r="E717" s="73"/>
      <c r="F717" s="73"/>
      <c r="G717" s="73"/>
      <c r="H717" s="73"/>
    </row>
    <row r="718" spans="2:8" ht="15.75">
      <c r="B718" s="76"/>
      <c r="C718" s="71"/>
      <c r="D718" s="77"/>
      <c r="E718" s="73"/>
      <c r="F718" s="73"/>
      <c r="G718" s="73"/>
      <c r="H718" s="73"/>
    </row>
    <row r="719" spans="2:8" ht="15.75">
      <c r="B719" s="76"/>
      <c r="C719" s="71"/>
      <c r="D719" s="77"/>
      <c r="E719" s="73"/>
      <c r="F719" s="73"/>
      <c r="G719" s="73"/>
      <c r="H719" s="73"/>
    </row>
    <row r="720" spans="2:8" ht="15.75">
      <c r="B720" s="76"/>
      <c r="C720" s="71"/>
      <c r="D720" s="77"/>
      <c r="E720" s="73"/>
      <c r="F720" s="73"/>
      <c r="G720" s="73"/>
      <c r="H720" s="73"/>
    </row>
    <row r="721" spans="2:8" ht="15.75">
      <c r="B721" s="76"/>
      <c r="C721" s="71"/>
      <c r="D721" s="77"/>
      <c r="E721" s="73"/>
      <c r="F721" s="73"/>
      <c r="G721" s="73"/>
      <c r="H721" s="73"/>
    </row>
    <row r="722" spans="2:8" ht="15.75">
      <c r="B722" s="76"/>
      <c r="C722" s="71"/>
      <c r="D722" s="77"/>
      <c r="E722" s="73"/>
      <c r="F722" s="73"/>
      <c r="G722" s="73"/>
      <c r="H722" s="73"/>
    </row>
    <row r="723" spans="2:8" ht="15.75">
      <c r="B723" s="76"/>
      <c r="C723" s="71"/>
      <c r="D723" s="77"/>
      <c r="E723" s="73"/>
      <c r="F723" s="73"/>
      <c r="G723" s="73"/>
      <c r="H723" s="73"/>
    </row>
    <row r="724" spans="2:8" ht="15.75">
      <c r="B724" s="76"/>
      <c r="C724" s="71"/>
      <c r="D724" s="77"/>
      <c r="E724" s="73"/>
      <c r="F724" s="73"/>
      <c r="G724" s="73"/>
      <c r="H724" s="73"/>
    </row>
    <row r="725" spans="2:8" ht="15.75">
      <c r="B725" s="76"/>
      <c r="C725" s="71"/>
      <c r="D725" s="77"/>
      <c r="E725" s="73"/>
      <c r="F725" s="73"/>
      <c r="G725" s="73"/>
      <c r="H725" s="73"/>
    </row>
    <row r="726" spans="2:8" ht="15.75">
      <c r="B726" s="76"/>
      <c r="C726" s="71"/>
      <c r="D726" s="77"/>
      <c r="E726" s="73"/>
      <c r="F726" s="73"/>
      <c r="G726" s="73"/>
      <c r="H726" s="73"/>
    </row>
    <row r="727" spans="2:8" ht="15.75">
      <c r="B727" s="76"/>
      <c r="C727" s="71"/>
      <c r="D727" s="77"/>
      <c r="E727" s="73"/>
      <c r="F727" s="73"/>
      <c r="G727" s="73"/>
      <c r="H727" s="73"/>
    </row>
    <row r="728" spans="2:8" ht="15.75">
      <c r="B728" s="76"/>
      <c r="C728" s="71"/>
      <c r="D728" s="77"/>
      <c r="E728" s="73"/>
      <c r="F728" s="73"/>
      <c r="G728" s="73"/>
      <c r="H728" s="73"/>
    </row>
    <row r="729" spans="2:8" ht="15.75">
      <c r="B729" s="76"/>
      <c r="C729" s="71"/>
      <c r="D729" s="77"/>
      <c r="E729" s="73"/>
      <c r="F729" s="73"/>
      <c r="G729" s="73"/>
      <c r="H729" s="73"/>
    </row>
    <row r="730" spans="2:8" ht="15.75">
      <c r="B730" s="76"/>
      <c r="C730" s="71"/>
      <c r="D730" s="77"/>
      <c r="E730" s="73"/>
      <c r="F730" s="73"/>
      <c r="G730" s="73"/>
      <c r="H730" s="73"/>
    </row>
    <row r="731" spans="2:8" ht="15.75">
      <c r="B731" s="76"/>
      <c r="C731" s="71"/>
      <c r="D731" s="77"/>
      <c r="E731" s="73"/>
      <c r="F731" s="73"/>
      <c r="G731" s="73"/>
      <c r="H731" s="73"/>
    </row>
    <row r="732" spans="2:8" ht="15.75">
      <c r="B732" s="76"/>
      <c r="C732" s="71"/>
      <c r="D732" s="77"/>
      <c r="E732" s="73"/>
      <c r="F732" s="73"/>
      <c r="G732" s="73"/>
      <c r="H732" s="73"/>
    </row>
    <row r="733" spans="2:8" ht="15.75">
      <c r="B733" s="76"/>
      <c r="C733" s="71"/>
      <c r="D733" s="77"/>
      <c r="E733" s="73"/>
      <c r="F733" s="73"/>
      <c r="G733" s="73"/>
      <c r="H733" s="73"/>
    </row>
    <row r="734" spans="2:8" ht="15.75">
      <c r="B734" s="76"/>
      <c r="C734" s="71"/>
      <c r="D734" s="77"/>
      <c r="E734" s="73"/>
      <c r="F734" s="73"/>
      <c r="G734" s="73"/>
      <c r="H734" s="73"/>
    </row>
    <row r="735" spans="2:8" ht="15.75">
      <c r="B735" s="76"/>
      <c r="C735" s="71"/>
      <c r="D735" s="77"/>
      <c r="E735" s="73"/>
      <c r="F735" s="73"/>
      <c r="G735" s="73"/>
      <c r="H735" s="73"/>
    </row>
    <row r="736" spans="2:8" ht="15.75">
      <c r="B736" s="76"/>
      <c r="C736" s="71"/>
      <c r="D736" s="77"/>
      <c r="E736" s="73"/>
      <c r="F736" s="73"/>
      <c r="G736" s="73"/>
      <c r="H736" s="73"/>
    </row>
    <row r="737" spans="2:8" ht="15.75">
      <c r="B737" s="76"/>
      <c r="C737" s="71"/>
      <c r="D737" s="77"/>
      <c r="E737" s="73"/>
      <c r="F737" s="73"/>
      <c r="G737" s="73"/>
      <c r="H737" s="73"/>
    </row>
    <row r="738" spans="2:8" ht="15.75">
      <c r="B738" s="76"/>
      <c r="C738" s="71"/>
      <c r="D738" s="77"/>
      <c r="E738" s="73"/>
      <c r="F738" s="73"/>
      <c r="G738" s="73"/>
      <c r="H738" s="73"/>
    </row>
    <row r="739" spans="2:8" ht="15.75">
      <c r="B739" s="76"/>
      <c r="C739" s="71"/>
      <c r="D739" s="77"/>
      <c r="E739" s="73"/>
      <c r="F739" s="73"/>
      <c r="G739" s="73"/>
      <c r="H739" s="73"/>
    </row>
    <row r="740" spans="2:8" ht="15.75">
      <c r="B740" s="76"/>
      <c r="C740" s="71"/>
      <c r="D740" s="77"/>
      <c r="E740" s="73"/>
      <c r="F740" s="73"/>
      <c r="G740" s="73"/>
      <c r="H740" s="73"/>
    </row>
    <row r="741" spans="2:8" ht="15.75">
      <c r="B741" s="76"/>
      <c r="C741" s="71"/>
      <c r="D741" s="77"/>
      <c r="E741" s="73"/>
      <c r="F741" s="73"/>
      <c r="G741" s="73"/>
      <c r="H741" s="73"/>
    </row>
    <row r="742" spans="2:8" ht="15.75">
      <c r="B742" s="76"/>
      <c r="C742" s="71"/>
      <c r="D742" s="77"/>
      <c r="E742" s="73"/>
      <c r="F742" s="73"/>
      <c r="G742" s="73"/>
      <c r="H742" s="73"/>
    </row>
    <row r="743" spans="2:8" ht="15.75">
      <c r="B743" s="76"/>
      <c r="C743" s="71"/>
      <c r="D743" s="77"/>
      <c r="E743" s="73"/>
      <c r="F743" s="73"/>
      <c r="G743" s="73"/>
      <c r="H743" s="73"/>
    </row>
    <row r="744" spans="2:8" ht="15.75">
      <c r="B744" s="76"/>
      <c r="C744" s="71"/>
      <c r="D744" s="77"/>
      <c r="E744" s="73"/>
      <c r="F744" s="73"/>
      <c r="G744" s="73"/>
      <c r="H744" s="73"/>
    </row>
    <row r="745" spans="2:8" ht="15.75">
      <c r="B745" s="76"/>
      <c r="C745" s="71"/>
      <c r="D745" s="77"/>
      <c r="E745" s="73"/>
      <c r="F745" s="73"/>
      <c r="G745" s="73"/>
      <c r="H745" s="73"/>
    </row>
  </sheetData>
  <sheetProtection password="CE28" sheet="1" objects="1" scenarios="1"/>
  <autoFilter ref="A5:M458"/>
  <mergeCells count="111">
    <mergeCell ref="F4:F5"/>
    <mergeCell ref="G4:G5"/>
    <mergeCell ref="H4:H5"/>
    <mergeCell ref="I4:I5"/>
    <mergeCell ref="J4:J5"/>
    <mergeCell ref="A1:M1"/>
    <mergeCell ref="K4:K5"/>
    <mergeCell ref="L4:L5"/>
    <mergeCell ref="M4:M5"/>
    <mergeCell ref="E4:E5"/>
    <mergeCell ref="A6:A28"/>
    <mergeCell ref="B6:B28"/>
    <mergeCell ref="A4:A5"/>
    <mergeCell ref="B4:B5"/>
    <mergeCell ref="C4:C5"/>
    <mergeCell ref="D4:D5"/>
    <mergeCell ref="A29:A51"/>
    <mergeCell ref="B29:B51"/>
    <mergeCell ref="A52:A65"/>
    <mergeCell ref="B52:B65"/>
    <mergeCell ref="A68:A70"/>
    <mergeCell ref="B68:B70"/>
    <mergeCell ref="A71:A87"/>
    <mergeCell ref="B71:B87"/>
    <mergeCell ref="A88:A105"/>
    <mergeCell ref="B88:B105"/>
    <mergeCell ref="A106:A119"/>
    <mergeCell ref="B106:B119"/>
    <mergeCell ref="A120:A124"/>
    <mergeCell ref="B120:B124"/>
    <mergeCell ref="A125:A139"/>
    <mergeCell ref="B125:B139"/>
    <mergeCell ref="A140:A152"/>
    <mergeCell ref="B140:B152"/>
    <mergeCell ref="A153:A165"/>
    <mergeCell ref="B153:B165"/>
    <mergeCell ref="A166:A178"/>
    <mergeCell ref="B166:B178"/>
    <mergeCell ref="A179:A192"/>
    <mergeCell ref="B179:B192"/>
    <mergeCell ref="A193:A205"/>
    <mergeCell ref="B193:B205"/>
    <mergeCell ref="A206:A216"/>
    <mergeCell ref="B206:B216"/>
    <mergeCell ref="A217:A229"/>
    <mergeCell ref="B217:B229"/>
    <mergeCell ref="A230:A241"/>
    <mergeCell ref="B230:B241"/>
    <mergeCell ref="A242:A259"/>
    <mergeCell ref="B242:B259"/>
    <mergeCell ref="A260:A273"/>
    <mergeCell ref="B260:B273"/>
    <mergeCell ref="A274:A285"/>
    <mergeCell ref="B274:B285"/>
    <mergeCell ref="A286:A301"/>
    <mergeCell ref="B286:B301"/>
    <mergeCell ref="A302:A319"/>
    <mergeCell ref="B302:B319"/>
    <mergeCell ref="A320:A328"/>
    <mergeCell ref="B320:B328"/>
    <mergeCell ref="A329:A350"/>
    <mergeCell ref="B329:B350"/>
    <mergeCell ref="A351:A367"/>
    <mergeCell ref="B351:B367"/>
    <mergeCell ref="A368:A370"/>
    <mergeCell ref="B368:B370"/>
    <mergeCell ref="A371:A381"/>
    <mergeCell ref="B371:B381"/>
    <mergeCell ref="A382:A394"/>
    <mergeCell ref="B382:B394"/>
    <mergeCell ref="A395:A404"/>
    <mergeCell ref="B395:B404"/>
    <mergeCell ref="A405:A406"/>
    <mergeCell ref="B405:B406"/>
    <mergeCell ref="A407:A410"/>
    <mergeCell ref="B407:B410"/>
    <mergeCell ref="A457:A458"/>
    <mergeCell ref="B457:B458"/>
    <mergeCell ref="E460:E461"/>
    <mergeCell ref="F460:F461"/>
    <mergeCell ref="A411:A423"/>
    <mergeCell ref="B411:B423"/>
    <mergeCell ref="A424:A439"/>
    <mergeCell ref="B424:B439"/>
    <mergeCell ref="A440:A448"/>
    <mergeCell ref="B440:B448"/>
    <mergeCell ref="G460:G461"/>
    <mergeCell ref="H460:H461"/>
    <mergeCell ref="I460:I461"/>
    <mergeCell ref="J460:J461"/>
    <mergeCell ref="K460:K461"/>
    <mergeCell ref="A462:K462"/>
    <mergeCell ref="J464:J465"/>
    <mergeCell ref="K464:K465"/>
    <mergeCell ref="L464:L465"/>
    <mergeCell ref="A464:A465"/>
    <mergeCell ref="B464:B465"/>
    <mergeCell ref="C464:C465"/>
    <mergeCell ref="D464:D465"/>
    <mergeCell ref="E464:E465"/>
    <mergeCell ref="F464:F465"/>
    <mergeCell ref="A2:M2"/>
    <mergeCell ref="M464:M465"/>
    <mergeCell ref="A466:A530"/>
    <mergeCell ref="B466:B530"/>
    <mergeCell ref="A452:D452"/>
    <mergeCell ref="A453:D453"/>
    <mergeCell ref="A454:D454"/>
    <mergeCell ref="G464:G465"/>
    <mergeCell ref="I464:I465"/>
  </mergeCells>
  <printOptions/>
  <pageMargins left="0.51" right="0.22" top="0.2362204724409449" bottom="0.28" header="0.4330708661417323" footer="0.15748031496062992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5"/>
  <sheetViews>
    <sheetView view="pageBreakPreview" zoomScale="72" zoomScaleNormal="71" zoomScaleSheetLayoutView="72" zoomScalePageLayoutView="0" workbookViewId="0" topLeftCell="D462">
      <pane xSplit="1" ySplit="4" topLeftCell="E466" activePane="bottomRight" state="frozen"/>
      <selection pane="topLeft" activeCell="D462" sqref="D462"/>
      <selection pane="topRight" activeCell="E462" sqref="E462"/>
      <selection pane="bottomLeft" activeCell="D466" sqref="D466"/>
      <selection pane="bottomRight" activeCell="D493" sqref="D493"/>
    </sheetView>
  </sheetViews>
  <sheetFormatPr defaultColWidth="15.25390625" defaultRowHeight="15.75"/>
  <cols>
    <col min="1" max="1" width="6.125" style="3" hidden="1" customWidth="1"/>
    <col min="2" max="2" width="14.75390625" style="4" hidden="1" customWidth="1"/>
    <col min="3" max="3" width="17.875" style="5" hidden="1" customWidth="1"/>
    <col min="4" max="4" width="50.50390625" style="54" customWidth="1"/>
    <col min="5" max="5" width="13.25390625" style="7" customWidth="1"/>
    <col min="6" max="6" width="14.625" style="7" customWidth="1"/>
    <col min="7" max="7" width="14.375" style="7" customWidth="1"/>
    <col min="8" max="8" width="13.50390625" style="7" customWidth="1"/>
    <col min="9" max="9" width="13.875" style="2" customWidth="1"/>
    <col min="10" max="10" width="9.25390625" style="2" customWidth="1"/>
    <col min="11" max="11" width="8.75390625" style="2" customWidth="1"/>
    <col min="12" max="12" width="12.625" style="2" customWidth="1"/>
    <col min="13" max="13" width="12.875" style="2" customWidth="1"/>
    <col min="14" max="16384" width="15.25390625" style="2" customWidth="1"/>
  </cols>
  <sheetData>
    <row r="1" spans="1:11" ht="18" customHeight="1" hidden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4:13" ht="20.25" customHeight="1" hidden="1">
      <c r="D2" s="6"/>
      <c r="H2" s="8"/>
      <c r="K2" s="9"/>
      <c r="M2" s="9" t="s">
        <v>1</v>
      </c>
    </row>
    <row r="3" spans="1:13" ht="42.75" customHeight="1" hidden="1">
      <c r="A3" s="119" t="s">
        <v>2</v>
      </c>
      <c r="B3" s="120" t="s">
        <v>3</v>
      </c>
      <c r="C3" s="121" t="s">
        <v>4</v>
      </c>
      <c r="D3" s="120" t="s">
        <v>5</v>
      </c>
      <c r="E3" s="117" t="s">
        <v>6</v>
      </c>
      <c r="F3" s="144" t="s">
        <v>7</v>
      </c>
      <c r="G3" s="144" t="s">
        <v>8</v>
      </c>
      <c r="H3" s="144" t="s">
        <v>9</v>
      </c>
      <c r="I3" s="146" t="s">
        <v>10</v>
      </c>
      <c r="J3" s="120" t="s">
        <v>11</v>
      </c>
      <c r="K3" s="148" t="s">
        <v>12</v>
      </c>
      <c r="L3" s="146" t="s">
        <v>13</v>
      </c>
      <c r="M3" s="120" t="s">
        <v>14</v>
      </c>
    </row>
    <row r="4" spans="1:13" ht="37.5" customHeight="1" hidden="1">
      <c r="A4" s="119"/>
      <c r="B4" s="120"/>
      <c r="C4" s="121"/>
      <c r="D4" s="120"/>
      <c r="E4" s="118"/>
      <c r="F4" s="145"/>
      <c r="G4" s="145"/>
      <c r="H4" s="145"/>
      <c r="I4" s="147"/>
      <c r="J4" s="147"/>
      <c r="K4" s="149"/>
      <c r="L4" s="147"/>
      <c r="M4" s="147"/>
    </row>
    <row r="5" spans="1:13" ht="15.75" customHeight="1" hidden="1">
      <c r="A5" s="128" t="s">
        <v>15</v>
      </c>
      <c r="B5" s="130" t="s">
        <v>16</v>
      </c>
      <c r="C5" s="11" t="s">
        <v>17</v>
      </c>
      <c r="D5" s="12" t="s">
        <v>18</v>
      </c>
      <c r="E5" s="13"/>
      <c r="F5" s="14">
        <v>433.9</v>
      </c>
      <c r="G5" s="15"/>
      <c r="H5" s="13"/>
      <c r="I5" s="13">
        <f>H5-G5</f>
        <v>0</v>
      </c>
      <c r="J5" s="13"/>
      <c r="K5" s="13"/>
      <c r="L5" s="13">
        <f>H5-E5</f>
        <v>0</v>
      </c>
      <c r="M5" s="13"/>
    </row>
    <row r="6" spans="1:13" ht="63" customHeight="1" hidden="1">
      <c r="A6" s="142"/>
      <c r="B6" s="142"/>
      <c r="C6" s="16" t="s">
        <v>19</v>
      </c>
      <c r="D6" s="17" t="s">
        <v>20</v>
      </c>
      <c r="E6" s="13"/>
      <c r="F6" s="14"/>
      <c r="G6" s="15"/>
      <c r="H6" s="13"/>
      <c r="I6" s="13">
        <f aca="true" t="shared" si="0" ref="I6:I72">H6-G6</f>
        <v>0</v>
      </c>
      <c r="J6" s="13"/>
      <c r="K6" s="13"/>
      <c r="L6" s="13">
        <f aca="true" t="shared" si="1" ref="L6:L72">H6-E6</f>
        <v>0</v>
      </c>
      <c r="M6" s="13"/>
    </row>
    <row r="7" spans="1:13" ht="15.75" hidden="1">
      <c r="A7" s="142"/>
      <c r="B7" s="142"/>
      <c r="C7" s="18" t="s">
        <v>21</v>
      </c>
      <c r="D7" s="19" t="s">
        <v>22</v>
      </c>
      <c r="E7" s="13">
        <v>30381.4</v>
      </c>
      <c r="F7" s="13">
        <v>420216.8</v>
      </c>
      <c r="G7" s="13">
        <v>25955.4</v>
      </c>
      <c r="H7" s="13">
        <v>23993.34</v>
      </c>
      <c r="I7" s="13">
        <f t="shared" si="0"/>
        <v>-1962.0600000000013</v>
      </c>
      <c r="J7" s="13">
        <f>H7/G7*100</f>
        <v>92.4406481888162</v>
      </c>
      <c r="K7" s="13">
        <f>H7/F7*100</f>
        <v>5.709752680045158</v>
      </c>
      <c r="L7" s="13">
        <f t="shared" si="1"/>
        <v>-6388.060000000001</v>
      </c>
      <c r="M7" s="13">
        <f>H7/E7*100</f>
        <v>78.97378001013777</v>
      </c>
    </row>
    <row r="8" spans="1:13" ht="37.5" customHeight="1" hidden="1">
      <c r="A8" s="142"/>
      <c r="B8" s="142"/>
      <c r="C8" s="18" t="s">
        <v>23</v>
      </c>
      <c r="D8" s="20" t="s">
        <v>24</v>
      </c>
      <c r="E8" s="13"/>
      <c r="F8" s="13">
        <v>3687</v>
      </c>
      <c r="G8" s="13"/>
      <c r="H8" s="13"/>
      <c r="I8" s="13">
        <f t="shared" si="0"/>
        <v>0</v>
      </c>
      <c r="J8" s="13"/>
      <c r="K8" s="13">
        <f>H8/F8*100</f>
        <v>0</v>
      </c>
      <c r="L8" s="13">
        <f t="shared" si="1"/>
        <v>0</v>
      </c>
      <c r="M8" s="13"/>
    </row>
    <row r="9" spans="1:13" ht="40.5" customHeight="1" hidden="1">
      <c r="A9" s="142"/>
      <c r="B9" s="142"/>
      <c r="C9" s="18" t="s">
        <v>25</v>
      </c>
      <c r="D9" s="21" t="s">
        <v>26</v>
      </c>
      <c r="E9" s="13">
        <v>41.7</v>
      </c>
      <c r="F9" s="13"/>
      <c r="G9" s="13"/>
      <c r="H9" s="13">
        <v>44.17</v>
      </c>
      <c r="I9" s="13">
        <f t="shared" si="0"/>
        <v>44.17</v>
      </c>
      <c r="J9" s="13"/>
      <c r="K9" s="13"/>
      <c r="L9" s="13">
        <f t="shared" si="1"/>
        <v>2.469999999999999</v>
      </c>
      <c r="M9" s="13">
        <f>H9/E9*100</f>
        <v>105.92326139088728</v>
      </c>
    </row>
    <row r="10" spans="1:13" ht="37.5" customHeight="1" hidden="1">
      <c r="A10" s="142"/>
      <c r="B10" s="142"/>
      <c r="C10" s="18" t="s">
        <v>27</v>
      </c>
      <c r="D10" s="22" t="s">
        <v>28</v>
      </c>
      <c r="E10" s="13"/>
      <c r="F10" s="13"/>
      <c r="G10" s="13"/>
      <c r="H10" s="13">
        <v>2</v>
      </c>
      <c r="I10" s="13">
        <f t="shared" si="0"/>
        <v>2</v>
      </c>
      <c r="J10" s="13"/>
      <c r="K10" s="13"/>
      <c r="L10" s="13">
        <f t="shared" si="1"/>
        <v>2</v>
      </c>
      <c r="M10" s="13"/>
    </row>
    <row r="11" spans="1:13" ht="63" customHeight="1" hidden="1">
      <c r="A11" s="142"/>
      <c r="B11" s="142"/>
      <c r="C11" s="16" t="s">
        <v>29</v>
      </c>
      <c r="D11" s="23" t="s">
        <v>30</v>
      </c>
      <c r="E11" s="13"/>
      <c r="F11" s="13"/>
      <c r="G11" s="13"/>
      <c r="H11" s="13"/>
      <c r="I11" s="13">
        <f t="shared" si="0"/>
        <v>0</v>
      </c>
      <c r="J11" s="13"/>
      <c r="K11" s="13"/>
      <c r="L11" s="13">
        <f t="shared" si="1"/>
        <v>0</v>
      </c>
      <c r="M11" s="13"/>
    </row>
    <row r="12" spans="1:13" ht="72" customHeight="1" hidden="1">
      <c r="A12" s="142"/>
      <c r="B12" s="142"/>
      <c r="C12" s="16" t="s">
        <v>31</v>
      </c>
      <c r="D12" s="21" t="s">
        <v>32</v>
      </c>
      <c r="E12" s="13">
        <v>11280</v>
      </c>
      <c r="F12" s="13">
        <v>1162983.4</v>
      </c>
      <c r="G12" s="13">
        <v>47100.1</v>
      </c>
      <c r="H12" s="13">
        <v>41569.96</v>
      </c>
      <c r="I12" s="13">
        <f t="shared" si="0"/>
        <v>-5530.139999999999</v>
      </c>
      <c r="J12" s="13">
        <f>H12/G12*100</f>
        <v>88.2587510429914</v>
      </c>
      <c r="K12" s="13">
        <f>H12/F12*100</f>
        <v>3.5744241921251843</v>
      </c>
      <c r="L12" s="13">
        <f t="shared" si="1"/>
        <v>30289.96</v>
      </c>
      <c r="M12" s="13">
        <f>H12/E12*100</f>
        <v>368.52801418439714</v>
      </c>
    </row>
    <row r="13" spans="1:13" ht="47.25" customHeight="1" hidden="1">
      <c r="A13" s="142"/>
      <c r="B13" s="142"/>
      <c r="C13" s="16" t="s">
        <v>33</v>
      </c>
      <c r="D13" s="21" t="s">
        <v>34</v>
      </c>
      <c r="E13" s="13"/>
      <c r="F13" s="13">
        <f>1709.2-1709.2</f>
        <v>0</v>
      </c>
      <c r="G13" s="13"/>
      <c r="H13" s="13"/>
      <c r="I13" s="13">
        <f t="shared" si="0"/>
        <v>0</v>
      </c>
      <c r="J13" s="13"/>
      <c r="K13" s="13"/>
      <c r="L13" s="13">
        <f t="shared" si="1"/>
        <v>0</v>
      </c>
      <c r="M13" s="13"/>
    </row>
    <row r="14" spans="1:13" ht="15.75" hidden="1">
      <c r="A14" s="142"/>
      <c r="B14" s="142"/>
      <c r="C14" s="18" t="s">
        <v>35</v>
      </c>
      <c r="D14" s="20" t="s">
        <v>36</v>
      </c>
      <c r="E14" s="13">
        <f>SUM(E15:E16)</f>
        <v>0</v>
      </c>
      <c r="F14" s="13">
        <f>SUM(F15:F16)</f>
        <v>0</v>
      </c>
      <c r="G14" s="13">
        <f>SUM(G15:G16)</f>
        <v>0</v>
      </c>
      <c r="H14" s="13">
        <f>SUM(H15:H16)</f>
        <v>0</v>
      </c>
      <c r="I14" s="13">
        <f t="shared" si="0"/>
        <v>0</v>
      </c>
      <c r="J14" s="13"/>
      <c r="K14" s="13"/>
      <c r="L14" s="13">
        <f t="shared" si="1"/>
        <v>0</v>
      </c>
      <c r="M14" s="13"/>
    </row>
    <row r="15" spans="1:13" ht="63" customHeight="1" hidden="1">
      <c r="A15" s="142"/>
      <c r="B15" s="142"/>
      <c r="C15" s="16" t="s">
        <v>37</v>
      </c>
      <c r="D15" s="24" t="s">
        <v>38</v>
      </c>
      <c r="E15" s="13"/>
      <c r="F15" s="13"/>
      <c r="G15" s="13"/>
      <c r="H15" s="13"/>
      <c r="I15" s="13">
        <f t="shared" si="0"/>
        <v>0</v>
      </c>
      <c r="J15" s="13"/>
      <c r="K15" s="13"/>
      <c r="L15" s="13">
        <f t="shared" si="1"/>
        <v>0</v>
      </c>
      <c r="M15" s="13"/>
    </row>
    <row r="16" spans="1:13" ht="47.25" customHeight="1" hidden="1">
      <c r="A16" s="142"/>
      <c r="B16" s="142"/>
      <c r="C16" s="16" t="s">
        <v>39</v>
      </c>
      <c r="D16" s="21" t="s">
        <v>40</v>
      </c>
      <c r="E16" s="13"/>
      <c r="F16" s="13"/>
      <c r="G16" s="13"/>
      <c r="H16" s="13"/>
      <c r="I16" s="13">
        <f t="shared" si="0"/>
        <v>0</v>
      </c>
      <c r="J16" s="13"/>
      <c r="K16" s="13"/>
      <c r="L16" s="13">
        <f t="shared" si="1"/>
        <v>0</v>
      </c>
      <c r="M16" s="13" t="e">
        <f>H16/E16*100</f>
        <v>#DIV/0!</v>
      </c>
    </row>
    <row r="17" spans="1:13" ht="15.75" hidden="1">
      <c r="A17" s="142"/>
      <c r="B17" s="142"/>
      <c r="C17" s="18" t="s">
        <v>41</v>
      </c>
      <c r="D17" s="20" t="s">
        <v>42</v>
      </c>
      <c r="E17" s="13"/>
      <c r="F17" s="13"/>
      <c r="G17" s="13"/>
      <c r="H17" s="13">
        <v>-5055.14</v>
      </c>
      <c r="I17" s="13">
        <f t="shared" si="0"/>
        <v>-5055.14</v>
      </c>
      <c r="J17" s="13"/>
      <c r="K17" s="13"/>
      <c r="L17" s="13">
        <f t="shared" si="1"/>
        <v>-5055.14</v>
      </c>
      <c r="M17" s="13"/>
    </row>
    <row r="18" spans="1:13" ht="15.75" customHeight="1" hidden="1">
      <c r="A18" s="142"/>
      <c r="B18" s="142"/>
      <c r="C18" s="18" t="s">
        <v>43</v>
      </c>
      <c r="D18" s="20" t="s">
        <v>44</v>
      </c>
      <c r="E18" s="13"/>
      <c r="F18" s="13"/>
      <c r="G18" s="13"/>
      <c r="H18" s="13"/>
      <c r="I18" s="13">
        <f t="shared" si="0"/>
        <v>0</v>
      </c>
      <c r="J18" s="13"/>
      <c r="K18" s="13"/>
      <c r="L18" s="13">
        <f t="shared" si="1"/>
        <v>0</v>
      </c>
      <c r="M18" s="13"/>
    </row>
    <row r="19" spans="1:13" ht="15.75" customHeight="1" hidden="1">
      <c r="A19" s="142"/>
      <c r="B19" s="142"/>
      <c r="C19" s="18" t="s">
        <v>45</v>
      </c>
      <c r="D19" s="20" t="s">
        <v>46</v>
      </c>
      <c r="F19" s="13"/>
      <c r="G19" s="13"/>
      <c r="H19" s="13"/>
      <c r="I19" s="13">
        <f t="shared" si="0"/>
        <v>0</v>
      </c>
      <c r="J19" s="13"/>
      <c r="K19" s="13"/>
      <c r="M19" s="13">
        <f>H19/E22*100</f>
        <v>0</v>
      </c>
    </row>
    <row r="20" spans="1:13" ht="15.75" hidden="1">
      <c r="A20" s="142"/>
      <c r="B20" s="142"/>
      <c r="C20" s="18" t="s">
        <v>47</v>
      </c>
      <c r="D20" s="20" t="s">
        <v>48</v>
      </c>
      <c r="E20" s="13"/>
      <c r="F20" s="13"/>
      <c r="G20" s="13"/>
      <c r="H20" s="13"/>
      <c r="I20" s="13">
        <f t="shared" si="0"/>
        <v>0</v>
      </c>
      <c r="J20" s="13"/>
      <c r="K20" s="13"/>
      <c r="L20" s="13">
        <f t="shared" si="1"/>
        <v>0</v>
      </c>
      <c r="M20" s="13"/>
    </row>
    <row r="21" spans="1:13" ht="15.75" customHeight="1" hidden="1">
      <c r="A21" s="142"/>
      <c r="B21" s="142"/>
      <c r="C21" s="18" t="s">
        <v>49</v>
      </c>
      <c r="D21" s="20" t="s">
        <v>50</v>
      </c>
      <c r="E21" s="13"/>
      <c r="F21" s="13">
        <v>100</v>
      </c>
      <c r="G21" s="13"/>
      <c r="H21" s="13"/>
      <c r="I21" s="13">
        <f t="shared" si="0"/>
        <v>0</v>
      </c>
      <c r="J21" s="13"/>
      <c r="K21" s="13">
        <f aca="true" t="shared" si="2" ref="K21:K28">H21/F21*100</f>
        <v>0</v>
      </c>
      <c r="L21" s="13">
        <f t="shared" si="1"/>
        <v>0</v>
      </c>
      <c r="M21" s="13"/>
    </row>
    <row r="22" spans="1:13" ht="15.75" customHeight="1" hidden="1">
      <c r="A22" s="142"/>
      <c r="B22" s="142"/>
      <c r="C22" s="18" t="s">
        <v>51</v>
      </c>
      <c r="D22" s="20" t="s">
        <v>46</v>
      </c>
      <c r="E22" s="13">
        <v>-34532.5</v>
      </c>
      <c r="F22" s="13"/>
      <c r="G22" s="13"/>
      <c r="H22" s="13"/>
      <c r="I22" s="13"/>
      <c r="J22" s="13"/>
      <c r="K22" s="13"/>
      <c r="L22" s="13">
        <f>H19-E22</f>
        <v>34532.5</v>
      </c>
      <c r="M22" s="13"/>
    </row>
    <row r="23" spans="1:13" s="28" customFormat="1" ht="15.75" hidden="1">
      <c r="A23" s="142"/>
      <c r="B23" s="142"/>
      <c r="C23" s="25"/>
      <c r="D23" s="26" t="s">
        <v>52</v>
      </c>
      <c r="E23" s="27">
        <f>SUM(E5:E14,E17:E22)</f>
        <v>7170.600000000006</v>
      </c>
      <c r="F23" s="27">
        <f>SUM(F5:F14,F17:F22)</f>
        <v>1587421.0999999999</v>
      </c>
      <c r="G23" s="27">
        <f>SUM(G5:G14,G17:G22)</f>
        <v>73055.5</v>
      </c>
      <c r="H23" s="27">
        <f>SUM(H5:H14,H17:H22)</f>
        <v>60554.33</v>
      </c>
      <c r="I23" s="13">
        <f t="shared" si="0"/>
        <v>-12501.169999999998</v>
      </c>
      <c r="J23" s="13">
        <f>H23/G23*100</f>
        <v>82.88811930655461</v>
      </c>
      <c r="K23" s="27">
        <f t="shared" si="2"/>
        <v>3.814635574643679</v>
      </c>
      <c r="L23" s="13">
        <f t="shared" si="1"/>
        <v>53383.729999999996</v>
      </c>
      <c r="M23" s="13">
        <f>H23/E23*100</f>
        <v>844.4806571277153</v>
      </c>
    </row>
    <row r="24" spans="1:13" ht="15.75" hidden="1">
      <c r="A24" s="142"/>
      <c r="B24" s="142"/>
      <c r="C24" s="18" t="s">
        <v>53</v>
      </c>
      <c r="D24" s="29" t="s">
        <v>54</v>
      </c>
      <c r="E24" s="13">
        <v>15105.3</v>
      </c>
      <c r="F24" s="13">
        <v>2752050.4</v>
      </c>
      <c r="G24" s="13">
        <v>16512.3</v>
      </c>
      <c r="H24" s="13">
        <f>20174.58+2.49</f>
        <v>20177.070000000003</v>
      </c>
      <c r="I24" s="13">
        <f t="shared" si="0"/>
        <v>3664.770000000004</v>
      </c>
      <c r="J24" s="13">
        <f>H24/G24*100</f>
        <v>122.19418251848624</v>
      </c>
      <c r="K24" s="13">
        <f t="shared" si="2"/>
        <v>0.7331649885481749</v>
      </c>
      <c r="L24" s="13">
        <f t="shared" si="1"/>
        <v>5071.770000000004</v>
      </c>
      <c r="M24" s="13">
        <f>H24/E24*100</f>
        <v>133.57609580743187</v>
      </c>
    </row>
    <row r="25" spans="1:13" s="28" customFormat="1" ht="15.75" customHeight="1" hidden="1">
      <c r="A25" s="142"/>
      <c r="B25" s="142"/>
      <c r="C25" s="25"/>
      <c r="D25" s="26" t="s">
        <v>55</v>
      </c>
      <c r="E25" s="27">
        <f>SUM(E24)</f>
        <v>15105.3</v>
      </c>
      <c r="F25" s="27">
        <f>SUM(F24)</f>
        <v>2752050.4</v>
      </c>
      <c r="G25" s="27">
        <f>SUM(G24)</f>
        <v>16512.3</v>
      </c>
      <c r="H25" s="27">
        <f>SUM(H24)</f>
        <v>20177.070000000003</v>
      </c>
      <c r="I25" s="13">
        <f t="shared" si="0"/>
        <v>3664.770000000004</v>
      </c>
      <c r="J25" s="13">
        <f>H25/G25*100</f>
        <v>122.19418251848624</v>
      </c>
      <c r="K25" s="27">
        <f t="shared" si="2"/>
        <v>0.7331649885481749</v>
      </c>
      <c r="L25" s="13">
        <f t="shared" si="1"/>
        <v>5071.770000000004</v>
      </c>
      <c r="M25" s="13">
        <f>H25/E25*100</f>
        <v>133.57609580743187</v>
      </c>
    </row>
    <row r="26" spans="1:13" s="28" customFormat="1" ht="47.25" customHeight="1" hidden="1">
      <c r="A26" s="142"/>
      <c r="B26" s="142"/>
      <c r="C26" s="25"/>
      <c r="D26" s="26" t="s">
        <v>56</v>
      </c>
      <c r="E26" s="27">
        <f>E27-E22</f>
        <v>56808.40000000001</v>
      </c>
      <c r="F26" s="27">
        <f>F27-F22</f>
        <v>4339471.5</v>
      </c>
      <c r="G26" s="27">
        <f>G27-G22</f>
        <v>89567.8</v>
      </c>
      <c r="H26" s="27">
        <f>H27-H22</f>
        <v>80731.40000000001</v>
      </c>
      <c r="I26" s="13">
        <f>H26-G26</f>
        <v>-8836.399999999994</v>
      </c>
      <c r="J26" s="13">
        <f>H26/G26*100</f>
        <v>90.13440097892324</v>
      </c>
      <c r="K26" s="27">
        <f t="shared" si="2"/>
        <v>1.8603970552635272</v>
      </c>
      <c r="L26" s="13">
        <f t="shared" si="1"/>
        <v>23923</v>
      </c>
      <c r="M26" s="13">
        <f>H26/E26*100</f>
        <v>142.1117299554291</v>
      </c>
    </row>
    <row r="27" spans="1:13" s="33" customFormat="1" ht="15.75" hidden="1">
      <c r="A27" s="143"/>
      <c r="B27" s="143"/>
      <c r="C27" s="30"/>
      <c r="D27" s="31" t="s">
        <v>57</v>
      </c>
      <c r="E27" s="32">
        <f>E23+E25</f>
        <v>22275.900000000005</v>
      </c>
      <c r="F27" s="32">
        <f>F23+F25</f>
        <v>4339471.5</v>
      </c>
      <c r="G27" s="32">
        <f>G23+G25</f>
        <v>89567.8</v>
      </c>
      <c r="H27" s="32">
        <f>H23+H25</f>
        <v>80731.40000000001</v>
      </c>
      <c r="I27" s="32">
        <f t="shared" si="0"/>
        <v>-8836.399999999994</v>
      </c>
      <c r="J27" s="32">
        <f>H27/G27*100</f>
        <v>90.13440097892324</v>
      </c>
      <c r="K27" s="32">
        <f t="shared" si="2"/>
        <v>1.8603970552635272</v>
      </c>
      <c r="L27" s="32">
        <f t="shared" si="1"/>
        <v>58455.5</v>
      </c>
      <c r="M27" s="32">
        <f>H27/E27*100</f>
        <v>362.4158844311565</v>
      </c>
    </row>
    <row r="28" spans="1:13" ht="37.5" customHeight="1" hidden="1">
      <c r="A28" s="128" t="s">
        <v>58</v>
      </c>
      <c r="B28" s="130" t="s">
        <v>59</v>
      </c>
      <c r="C28" s="18" t="s">
        <v>27</v>
      </c>
      <c r="D28" s="22" t="s">
        <v>28</v>
      </c>
      <c r="E28" s="13"/>
      <c r="F28" s="13">
        <v>2600</v>
      </c>
      <c r="G28" s="13"/>
      <c r="H28" s="13">
        <v>96.62</v>
      </c>
      <c r="I28" s="13">
        <f t="shared" si="0"/>
        <v>96.62</v>
      </c>
      <c r="J28" s="13"/>
      <c r="K28" s="13">
        <f t="shared" si="2"/>
        <v>3.716153846153846</v>
      </c>
      <c r="L28" s="13">
        <f t="shared" si="1"/>
        <v>96.62</v>
      </c>
      <c r="M28" s="13"/>
    </row>
    <row r="29" spans="1:13" ht="31.5" customHeight="1" hidden="1">
      <c r="A29" s="132"/>
      <c r="B29" s="134"/>
      <c r="C29" s="18" t="s">
        <v>25</v>
      </c>
      <c r="D29" s="21" t="s">
        <v>26</v>
      </c>
      <c r="E29" s="13"/>
      <c r="F29" s="13"/>
      <c r="G29" s="13"/>
      <c r="H29" s="13"/>
      <c r="I29" s="13">
        <f t="shared" si="0"/>
        <v>0</v>
      </c>
      <c r="J29" s="13"/>
      <c r="K29" s="13"/>
      <c r="L29" s="13">
        <f t="shared" si="1"/>
        <v>0</v>
      </c>
      <c r="M29" s="13"/>
    </row>
    <row r="30" spans="1:13" ht="15.75" hidden="1">
      <c r="A30" s="132"/>
      <c r="B30" s="134"/>
      <c r="C30" s="18" t="s">
        <v>35</v>
      </c>
      <c r="D30" s="20" t="s">
        <v>36</v>
      </c>
      <c r="E30" s="13">
        <f>SUM(E31:E32)</f>
        <v>59.5</v>
      </c>
      <c r="F30" s="13">
        <f>SUM(F31:F32)</f>
        <v>0</v>
      </c>
      <c r="G30" s="13">
        <f>SUM(G31:G32)</f>
        <v>0</v>
      </c>
      <c r="H30" s="13">
        <f>SUM(H31:H32)</f>
        <v>0</v>
      </c>
      <c r="I30" s="13">
        <f t="shared" si="0"/>
        <v>0</v>
      </c>
      <c r="J30" s="13"/>
      <c r="K30" s="13"/>
      <c r="L30" s="13">
        <f t="shared" si="1"/>
        <v>-59.5</v>
      </c>
      <c r="M30" s="13">
        <f>H30/E30*100</f>
        <v>0</v>
      </c>
    </row>
    <row r="31" spans="1:13" ht="54.75" customHeight="1" hidden="1">
      <c r="A31" s="132"/>
      <c r="B31" s="134"/>
      <c r="C31" s="16" t="s">
        <v>60</v>
      </c>
      <c r="D31" s="21" t="s">
        <v>61</v>
      </c>
      <c r="E31" s="13">
        <v>59.5</v>
      </c>
      <c r="F31" s="13"/>
      <c r="G31" s="13"/>
      <c r="H31" s="13"/>
      <c r="I31" s="13">
        <f t="shared" si="0"/>
        <v>0</v>
      </c>
      <c r="J31" s="13"/>
      <c r="K31" s="13"/>
      <c r="L31" s="13">
        <f t="shared" si="1"/>
        <v>-59.5</v>
      </c>
      <c r="M31" s="13">
        <f>H31/E31*100</f>
        <v>0</v>
      </c>
    </row>
    <row r="32" spans="1:13" ht="47.25" customHeight="1" hidden="1">
      <c r="A32" s="132"/>
      <c r="B32" s="134"/>
      <c r="C32" s="16" t="s">
        <v>62</v>
      </c>
      <c r="D32" s="24" t="s">
        <v>63</v>
      </c>
      <c r="E32" s="13"/>
      <c r="F32" s="13">
        <f>1800-1800</f>
        <v>0</v>
      </c>
      <c r="G32" s="13"/>
      <c r="H32" s="13"/>
      <c r="I32" s="13">
        <f t="shared" si="0"/>
        <v>0</v>
      </c>
      <c r="J32" s="13"/>
      <c r="K32" s="13"/>
      <c r="L32" s="13">
        <f t="shared" si="1"/>
        <v>0</v>
      </c>
      <c r="M32" s="13"/>
    </row>
    <row r="33" spans="1:13" ht="15.75" customHeight="1" hidden="1">
      <c r="A33" s="132"/>
      <c r="B33" s="134"/>
      <c r="C33" s="18" t="s">
        <v>41</v>
      </c>
      <c r="D33" s="20" t="s">
        <v>42</v>
      </c>
      <c r="E33" s="13">
        <v>2601.8</v>
      </c>
      <c r="F33" s="13"/>
      <c r="G33" s="13"/>
      <c r="H33" s="13">
        <v>2583.18</v>
      </c>
      <c r="I33" s="13">
        <f t="shared" si="0"/>
        <v>2583.18</v>
      </c>
      <c r="J33" s="13"/>
      <c r="K33" s="13"/>
      <c r="L33" s="13">
        <f t="shared" si="1"/>
        <v>-18.620000000000346</v>
      </c>
      <c r="M33" s="13">
        <f>H33/E33*100</f>
        <v>99.28434160965483</v>
      </c>
    </row>
    <row r="34" spans="1:13" ht="15.75" customHeight="1" hidden="1">
      <c r="A34" s="132"/>
      <c r="B34" s="134"/>
      <c r="C34" s="18" t="s">
        <v>43</v>
      </c>
      <c r="D34" s="20" t="s">
        <v>44</v>
      </c>
      <c r="E34" s="13"/>
      <c r="F34" s="13"/>
      <c r="G34" s="13"/>
      <c r="H34" s="13"/>
      <c r="I34" s="13">
        <f t="shared" si="0"/>
        <v>0</v>
      </c>
      <c r="J34" s="13"/>
      <c r="K34" s="13"/>
      <c r="L34" s="13">
        <f t="shared" si="1"/>
        <v>0</v>
      </c>
      <c r="M34" s="13"/>
    </row>
    <row r="35" spans="1:13" ht="31.5" customHeight="1" hidden="1">
      <c r="A35" s="132"/>
      <c r="B35" s="134"/>
      <c r="C35" s="18" t="s">
        <v>64</v>
      </c>
      <c r="D35" s="20" t="s">
        <v>65</v>
      </c>
      <c r="E35" s="13"/>
      <c r="F35" s="13"/>
      <c r="G35" s="13"/>
      <c r="H35" s="13"/>
      <c r="I35" s="13">
        <f t="shared" si="0"/>
        <v>0</v>
      </c>
      <c r="J35" s="13"/>
      <c r="K35" s="13"/>
      <c r="L35" s="13">
        <f t="shared" si="1"/>
        <v>0</v>
      </c>
      <c r="M35" s="13"/>
    </row>
    <row r="36" spans="1:13" ht="15.75" customHeight="1" hidden="1">
      <c r="A36" s="132"/>
      <c r="B36" s="134"/>
      <c r="C36" s="18" t="s">
        <v>45</v>
      </c>
      <c r="D36" s="20" t="s">
        <v>46</v>
      </c>
      <c r="E36" s="13"/>
      <c r="F36" s="13"/>
      <c r="G36" s="13"/>
      <c r="H36" s="13"/>
      <c r="I36" s="13">
        <f t="shared" si="0"/>
        <v>0</v>
      </c>
      <c r="J36" s="13"/>
      <c r="K36" s="13"/>
      <c r="L36" s="13">
        <f t="shared" si="1"/>
        <v>0</v>
      </c>
      <c r="M36" s="13"/>
    </row>
    <row r="37" spans="1:13" ht="31.5" customHeight="1" hidden="1">
      <c r="A37" s="132"/>
      <c r="B37" s="134"/>
      <c r="C37" s="18" t="s">
        <v>66</v>
      </c>
      <c r="D37" s="20" t="s">
        <v>67</v>
      </c>
      <c r="E37" s="13"/>
      <c r="F37" s="13"/>
      <c r="G37" s="13"/>
      <c r="H37" s="13"/>
      <c r="I37" s="13">
        <f t="shared" si="0"/>
        <v>0</v>
      </c>
      <c r="J37" s="13"/>
      <c r="K37" s="13"/>
      <c r="L37" s="13">
        <f t="shared" si="1"/>
        <v>0</v>
      </c>
      <c r="M37" s="13"/>
    </row>
    <row r="38" spans="1:13" ht="15.75" customHeight="1" hidden="1">
      <c r="A38" s="132"/>
      <c r="B38" s="134"/>
      <c r="C38" s="18" t="s">
        <v>47</v>
      </c>
      <c r="D38" s="20" t="s">
        <v>68</v>
      </c>
      <c r="E38" s="13"/>
      <c r="F38" s="13">
        <v>8101.5</v>
      </c>
      <c r="G38" s="13"/>
      <c r="H38" s="13"/>
      <c r="I38" s="13">
        <f t="shared" si="0"/>
        <v>0</v>
      </c>
      <c r="J38" s="13"/>
      <c r="K38" s="13"/>
      <c r="L38" s="13">
        <f t="shared" si="1"/>
        <v>0</v>
      </c>
      <c r="M38" s="13"/>
    </row>
    <row r="39" spans="1:13" ht="15.75" customHeight="1" hidden="1">
      <c r="A39" s="132"/>
      <c r="B39" s="134"/>
      <c r="C39" s="18" t="s">
        <v>49</v>
      </c>
      <c r="D39" s="20" t="s">
        <v>50</v>
      </c>
      <c r="E39" s="13"/>
      <c r="F39" s="13"/>
      <c r="G39" s="13"/>
      <c r="H39" s="13"/>
      <c r="I39" s="13">
        <f t="shared" si="0"/>
        <v>0</v>
      </c>
      <c r="J39" s="13"/>
      <c r="K39" s="13"/>
      <c r="L39" s="13">
        <f t="shared" si="1"/>
        <v>0</v>
      </c>
      <c r="M39" s="13"/>
    </row>
    <row r="40" spans="1:13" ht="15.75" customHeight="1" hidden="1">
      <c r="A40" s="132"/>
      <c r="B40" s="134"/>
      <c r="C40" s="18" t="s">
        <v>69</v>
      </c>
      <c r="D40" s="21" t="s">
        <v>70</v>
      </c>
      <c r="E40" s="13"/>
      <c r="F40" s="13"/>
      <c r="G40" s="13"/>
      <c r="H40" s="13">
        <f>195194-195194</f>
        <v>0</v>
      </c>
      <c r="I40" s="13">
        <f t="shared" si="0"/>
        <v>0</v>
      </c>
      <c r="J40" s="13"/>
      <c r="K40" s="13"/>
      <c r="L40" s="13">
        <f t="shared" si="1"/>
        <v>0</v>
      </c>
      <c r="M40" s="13"/>
    </row>
    <row r="41" spans="1:13" ht="15.75" customHeight="1" hidden="1">
      <c r="A41" s="132"/>
      <c r="B41" s="134"/>
      <c r="C41" s="18" t="s">
        <v>51</v>
      </c>
      <c r="D41" s="20" t="s">
        <v>46</v>
      </c>
      <c r="E41" s="13"/>
      <c r="F41" s="13"/>
      <c r="G41" s="13"/>
      <c r="H41" s="13"/>
      <c r="I41" s="13"/>
      <c r="J41" s="13"/>
      <c r="K41" s="13"/>
      <c r="L41" s="13"/>
      <c r="M41" s="13"/>
    </row>
    <row r="42" spans="1:13" s="28" customFormat="1" ht="15.75" customHeight="1" hidden="1">
      <c r="A42" s="132"/>
      <c r="B42" s="134"/>
      <c r="C42" s="36"/>
      <c r="D42" s="26" t="s">
        <v>52</v>
      </c>
      <c r="E42" s="27">
        <f>SUM(E28:E30,E33:E41)</f>
        <v>2661.3</v>
      </c>
      <c r="F42" s="27">
        <f>SUM(F28:F30,F33:F41)</f>
        <v>10701.5</v>
      </c>
      <c r="G42" s="27">
        <f>SUM(G28:G30,G33:G41)</f>
        <v>0</v>
      </c>
      <c r="H42" s="27">
        <f>SUM(H28:H30,H33:H41)</f>
        <v>2679.7999999999997</v>
      </c>
      <c r="I42" s="13">
        <f t="shared" si="0"/>
        <v>2679.7999999999997</v>
      </c>
      <c r="J42" s="13"/>
      <c r="K42" s="27">
        <f>H42/F42*100</f>
        <v>25.041349343549967</v>
      </c>
      <c r="L42" s="13">
        <f t="shared" si="1"/>
        <v>18.499999999999545</v>
      </c>
      <c r="M42" s="13">
        <f>H42/E42*100</f>
        <v>100.695148987337</v>
      </c>
    </row>
    <row r="43" spans="1:13" ht="149.25" customHeight="1" hidden="1">
      <c r="A43" s="132"/>
      <c r="B43" s="134"/>
      <c r="C43" s="37" t="s">
        <v>71</v>
      </c>
      <c r="D43" s="38" t="s">
        <v>72</v>
      </c>
      <c r="E43" s="13">
        <v>35.9</v>
      </c>
      <c r="F43" s="13">
        <f>443+250</f>
        <v>693</v>
      </c>
      <c r="G43" s="13">
        <f>16.2+15.1</f>
        <v>31.299999999999997</v>
      </c>
      <c r="H43" s="13">
        <f>38.4+38.4</f>
        <v>76.8</v>
      </c>
      <c r="I43" s="13">
        <f t="shared" si="0"/>
        <v>45.5</v>
      </c>
      <c r="J43" s="13">
        <f>H43/G43*100</f>
        <v>245.3674121405751</v>
      </c>
      <c r="K43" s="13">
        <f>H43/F43*100</f>
        <v>11.082251082251082</v>
      </c>
      <c r="L43" s="13">
        <f t="shared" si="1"/>
        <v>40.9</v>
      </c>
      <c r="M43" s="13">
        <f>H43/E43*100</f>
        <v>213.92757660167132</v>
      </c>
    </row>
    <row r="44" spans="1:13" ht="15.75" customHeight="1" hidden="1">
      <c r="A44" s="132"/>
      <c r="B44" s="134"/>
      <c r="C44" s="18" t="s">
        <v>73</v>
      </c>
      <c r="D44" s="29" t="s">
        <v>74</v>
      </c>
      <c r="E44" s="39">
        <v>5.3</v>
      </c>
      <c r="F44" s="40"/>
      <c r="G44" s="40"/>
      <c r="H44" s="39">
        <f>-30.65+0.01+2.88+5.43</f>
        <v>-22.33</v>
      </c>
      <c r="I44" s="13">
        <f t="shared" si="0"/>
        <v>-22.33</v>
      </c>
      <c r="J44" s="13"/>
      <c r="K44" s="13"/>
      <c r="L44" s="13">
        <f t="shared" si="1"/>
        <v>-27.63</v>
      </c>
      <c r="M44" s="13">
        <f>H44/E44*100</f>
        <v>-421.3207547169811</v>
      </c>
    </row>
    <row r="45" spans="1:13" ht="15.75" customHeight="1" hidden="1">
      <c r="A45" s="132"/>
      <c r="B45" s="134"/>
      <c r="C45" s="18" t="s">
        <v>35</v>
      </c>
      <c r="D45" s="20" t="s">
        <v>36</v>
      </c>
      <c r="E45" s="13"/>
      <c r="F45" s="13">
        <f>SUM(F46:F46)</f>
        <v>30</v>
      </c>
      <c r="G45" s="13">
        <f>SUM(G46:G46)</f>
        <v>0</v>
      </c>
      <c r="H45" s="13">
        <f>SUM(H46:H46)</f>
        <v>0</v>
      </c>
      <c r="I45" s="13">
        <f t="shared" si="0"/>
        <v>0</v>
      </c>
      <c r="J45" s="13"/>
      <c r="K45" s="13"/>
      <c r="L45" s="13">
        <f t="shared" si="1"/>
        <v>0</v>
      </c>
      <c r="M45" s="13"/>
    </row>
    <row r="46" spans="1:13" ht="15.75" customHeight="1" hidden="1">
      <c r="A46" s="132"/>
      <c r="B46" s="134"/>
      <c r="C46" s="18" t="s">
        <v>75</v>
      </c>
      <c r="D46" s="24" t="s">
        <v>76</v>
      </c>
      <c r="E46" s="13"/>
      <c r="F46" s="13">
        <v>30</v>
      </c>
      <c r="G46" s="13"/>
      <c r="H46" s="13"/>
      <c r="I46" s="13">
        <f t="shared" si="0"/>
        <v>0</v>
      </c>
      <c r="J46" s="13"/>
      <c r="K46" s="13">
        <f>H46/F46*100</f>
        <v>0</v>
      </c>
      <c r="L46" s="13">
        <f t="shared" si="1"/>
        <v>0</v>
      </c>
      <c r="M46" s="13"/>
    </row>
    <row r="47" spans="1:13" ht="15.75" customHeight="1" hidden="1">
      <c r="A47" s="132"/>
      <c r="B47" s="134"/>
      <c r="C47" s="18" t="s">
        <v>47</v>
      </c>
      <c r="D47" s="20" t="s">
        <v>48</v>
      </c>
      <c r="E47" s="13"/>
      <c r="F47" s="13"/>
      <c r="G47" s="13"/>
      <c r="H47" s="13"/>
      <c r="I47" s="13">
        <f t="shared" si="0"/>
        <v>0</v>
      </c>
      <c r="J47" s="13"/>
      <c r="K47" s="13"/>
      <c r="L47" s="13">
        <f t="shared" si="1"/>
        <v>0</v>
      </c>
      <c r="M47" s="13"/>
    </row>
    <row r="48" spans="1:13" s="28" customFormat="1" ht="15.75" customHeight="1" hidden="1">
      <c r="A48" s="132"/>
      <c r="B48" s="134"/>
      <c r="C48" s="36"/>
      <c r="D48" s="26" t="s">
        <v>55</v>
      </c>
      <c r="E48" s="40">
        <f>SUM(E43:E45,E47)</f>
        <v>41.199999999999996</v>
      </c>
      <c r="F48" s="40">
        <f>SUM(F43:F45,F47)</f>
        <v>723</v>
      </c>
      <c r="G48" s="40">
        <f>SUM(G43:G45,G47)</f>
        <v>31.299999999999997</v>
      </c>
      <c r="H48" s="40">
        <f>SUM(H43:H45,H47)</f>
        <v>54.47</v>
      </c>
      <c r="I48" s="13">
        <f t="shared" si="0"/>
        <v>23.17</v>
      </c>
      <c r="J48" s="13">
        <f>H48/G48*100</f>
        <v>174.0255591054313</v>
      </c>
      <c r="K48" s="27">
        <f>H48/F48*100</f>
        <v>7.533886583679114</v>
      </c>
      <c r="L48" s="13">
        <f t="shared" si="1"/>
        <v>13.270000000000003</v>
      </c>
      <c r="M48" s="13">
        <f>H48/E48*100</f>
        <v>132.20873786407768</v>
      </c>
    </row>
    <row r="49" spans="1:13" s="28" customFormat="1" ht="52.5" customHeight="1" hidden="1">
      <c r="A49" s="132"/>
      <c r="B49" s="134"/>
      <c r="C49" s="36"/>
      <c r="D49" s="26" t="s">
        <v>56</v>
      </c>
      <c r="E49" s="40">
        <f>E50-E41</f>
        <v>2702.5</v>
      </c>
      <c r="F49" s="40">
        <f>F50-F41</f>
        <v>11424.5</v>
      </c>
      <c r="G49" s="40">
        <f>G50-G41</f>
        <v>31.299999999999997</v>
      </c>
      <c r="H49" s="40">
        <f>H50-H41</f>
        <v>2734.2699999999995</v>
      </c>
      <c r="I49" s="13">
        <f t="shared" si="0"/>
        <v>2702.9699999999993</v>
      </c>
      <c r="J49" s="13">
        <f>H49/G49*100</f>
        <v>8735.686900958466</v>
      </c>
      <c r="K49" s="27">
        <f>H49/F49*100</f>
        <v>23.93338876974922</v>
      </c>
      <c r="L49" s="13">
        <f t="shared" si="1"/>
        <v>31.769999999999527</v>
      </c>
      <c r="M49" s="13">
        <f>H49/E49*100</f>
        <v>101.1755781683626</v>
      </c>
    </row>
    <row r="50" spans="1:13" s="33" customFormat="1" ht="15.75" hidden="1">
      <c r="A50" s="135"/>
      <c r="B50" s="136"/>
      <c r="C50" s="41"/>
      <c r="D50" s="31" t="s">
        <v>77</v>
      </c>
      <c r="E50" s="32">
        <f>E42+E48</f>
        <v>2702.5</v>
      </c>
      <c r="F50" s="32">
        <f>F42+F48</f>
        <v>11424.5</v>
      </c>
      <c r="G50" s="32">
        <f>G42+G48</f>
        <v>31.299999999999997</v>
      </c>
      <c r="H50" s="32">
        <f>H42+H48</f>
        <v>2734.2699999999995</v>
      </c>
      <c r="I50" s="32">
        <f t="shared" si="0"/>
        <v>2702.9699999999993</v>
      </c>
      <c r="J50" s="32">
        <f>H50/G50*100</f>
        <v>8735.686900958466</v>
      </c>
      <c r="K50" s="32">
        <f>H50/F50*100</f>
        <v>23.93338876974922</v>
      </c>
      <c r="L50" s="32">
        <f t="shared" si="1"/>
        <v>31.769999999999527</v>
      </c>
      <c r="M50" s="32">
        <f>H50/E50*100</f>
        <v>101.1755781683626</v>
      </c>
    </row>
    <row r="51" spans="1:13" ht="78.75" hidden="1">
      <c r="A51" s="128" t="s">
        <v>78</v>
      </c>
      <c r="B51" s="130" t="s">
        <v>79</v>
      </c>
      <c r="C51" s="16" t="s">
        <v>19</v>
      </c>
      <c r="D51" s="17" t="s">
        <v>20</v>
      </c>
      <c r="E51" s="39"/>
      <c r="F51" s="13"/>
      <c r="G51" s="39"/>
      <c r="H51" s="39"/>
      <c r="I51" s="13">
        <f t="shared" si="0"/>
        <v>0</v>
      </c>
      <c r="J51" s="13"/>
      <c r="K51" s="13"/>
      <c r="L51" s="13">
        <f t="shared" si="1"/>
        <v>0</v>
      </c>
      <c r="M51" s="13"/>
    </row>
    <row r="52" spans="1:13" ht="40.5" customHeight="1" hidden="1">
      <c r="A52" s="132"/>
      <c r="B52" s="134"/>
      <c r="C52" s="18" t="s">
        <v>27</v>
      </c>
      <c r="D52" s="22" t="s">
        <v>28</v>
      </c>
      <c r="E52" s="39"/>
      <c r="F52" s="39">
        <v>96</v>
      </c>
      <c r="G52" s="39"/>
      <c r="H52" s="39">
        <v>14.1</v>
      </c>
      <c r="I52" s="13">
        <f t="shared" si="0"/>
        <v>14.1</v>
      </c>
      <c r="J52" s="13"/>
      <c r="K52" s="13">
        <f>H52/F52*100</f>
        <v>14.6875</v>
      </c>
      <c r="L52" s="13">
        <f t="shared" si="1"/>
        <v>14.1</v>
      </c>
      <c r="M52" s="13"/>
    </row>
    <row r="53" spans="1:13" ht="63" hidden="1">
      <c r="A53" s="132"/>
      <c r="B53" s="134"/>
      <c r="C53" s="16" t="s">
        <v>33</v>
      </c>
      <c r="D53" s="21" t="s">
        <v>34</v>
      </c>
      <c r="E53" s="39"/>
      <c r="F53" s="39"/>
      <c r="G53" s="39"/>
      <c r="H53" s="39"/>
      <c r="I53" s="13">
        <f t="shared" si="0"/>
        <v>0</v>
      </c>
      <c r="J53" s="13"/>
      <c r="K53" s="13"/>
      <c r="L53" s="13">
        <f t="shared" si="1"/>
        <v>0</v>
      </c>
      <c r="M53" s="13"/>
    </row>
    <row r="54" spans="1:13" ht="15.75" hidden="1">
      <c r="A54" s="132"/>
      <c r="B54" s="134"/>
      <c r="C54" s="18" t="s">
        <v>35</v>
      </c>
      <c r="D54" s="20" t="s">
        <v>36</v>
      </c>
      <c r="E54" s="13">
        <f>E55</f>
        <v>0</v>
      </c>
      <c r="F54" s="13">
        <f>F55</f>
        <v>0</v>
      </c>
      <c r="G54" s="13">
        <f>G55</f>
        <v>0</v>
      </c>
      <c r="H54" s="13">
        <f>H55</f>
        <v>0.22</v>
      </c>
      <c r="I54" s="13">
        <f t="shared" si="0"/>
        <v>0.22</v>
      </c>
      <c r="J54" s="13"/>
      <c r="K54" s="13"/>
      <c r="L54" s="13">
        <f t="shared" si="1"/>
        <v>0.22</v>
      </c>
      <c r="M54" s="13"/>
    </row>
    <row r="55" spans="1:13" ht="58.5" customHeight="1" hidden="1">
      <c r="A55" s="132"/>
      <c r="B55" s="134"/>
      <c r="C55" s="16" t="s">
        <v>39</v>
      </c>
      <c r="D55" s="21" t="s">
        <v>40</v>
      </c>
      <c r="E55" s="13"/>
      <c r="F55" s="13"/>
      <c r="G55" s="13"/>
      <c r="H55" s="13">
        <v>0.22</v>
      </c>
      <c r="I55" s="13">
        <f t="shared" si="0"/>
        <v>0.22</v>
      </c>
      <c r="J55" s="13"/>
      <c r="K55" s="13"/>
      <c r="L55" s="13">
        <f t="shared" si="1"/>
        <v>0.22</v>
      </c>
      <c r="M55" s="13"/>
    </row>
    <row r="56" spans="1:13" ht="15.75" customHeight="1" hidden="1">
      <c r="A56" s="132"/>
      <c r="B56" s="134"/>
      <c r="C56" s="18" t="s">
        <v>41</v>
      </c>
      <c r="D56" s="20" t="s">
        <v>42</v>
      </c>
      <c r="E56" s="39"/>
      <c r="F56" s="39"/>
      <c r="G56" s="39"/>
      <c r="H56" s="39"/>
      <c r="I56" s="13">
        <f t="shared" si="0"/>
        <v>0</v>
      </c>
      <c r="J56" s="13"/>
      <c r="K56" s="13"/>
      <c r="L56" s="13">
        <f t="shared" si="1"/>
        <v>0</v>
      </c>
      <c r="M56" s="13"/>
    </row>
    <row r="57" spans="1:13" ht="15.75" customHeight="1" hidden="1">
      <c r="A57" s="132"/>
      <c r="B57" s="134"/>
      <c r="C57" s="18" t="s">
        <v>45</v>
      </c>
      <c r="D57" s="20" t="s">
        <v>46</v>
      </c>
      <c r="E57" s="39"/>
      <c r="F57" s="39"/>
      <c r="G57" s="39"/>
      <c r="H57" s="39"/>
      <c r="I57" s="13">
        <f t="shared" si="0"/>
        <v>0</v>
      </c>
      <c r="J57" s="13"/>
      <c r="K57" s="13"/>
      <c r="L57" s="13">
        <f t="shared" si="1"/>
        <v>0</v>
      </c>
      <c r="M57" s="13"/>
    </row>
    <row r="58" spans="1:13" ht="15.75" customHeight="1" hidden="1">
      <c r="A58" s="132"/>
      <c r="B58" s="134"/>
      <c r="C58" s="18" t="s">
        <v>49</v>
      </c>
      <c r="D58" s="20" t="s">
        <v>50</v>
      </c>
      <c r="E58" s="39"/>
      <c r="F58" s="39">
        <v>20</v>
      </c>
      <c r="G58" s="39"/>
      <c r="H58" s="39"/>
      <c r="I58" s="13">
        <f t="shared" si="0"/>
        <v>0</v>
      </c>
      <c r="J58" s="13"/>
      <c r="K58" s="13">
        <f>H58/F58*100</f>
        <v>0</v>
      </c>
      <c r="L58" s="13">
        <f t="shared" si="1"/>
        <v>0</v>
      </c>
      <c r="M58" s="13"/>
    </row>
    <row r="59" spans="1:13" ht="15.75" customHeight="1" hidden="1">
      <c r="A59" s="132"/>
      <c r="B59" s="134"/>
      <c r="C59" s="18" t="s">
        <v>80</v>
      </c>
      <c r="D59" s="20" t="s">
        <v>81</v>
      </c>
      <c r="E59" s="13"/>
      <c r="F59" s="39"/>
      <c r="G59" s="13"/>
      <c r="H59" s="13"/>
      <c r="I59" s="13">
        <f t="shared" si="0"/>
        <v>0</v>
      </c>
      <c r="J59" s="13"/>
      <c r="K59" s="13"/>
      <c r="L59" s="13">
        <f t="shared" si="1"/>
        <v>0</v>
      </c>
      <c r="M59" s="13"/>
    </row>
    <row r="60" spans="1:13" ht="15.75" customHeight="1" hidden="1">
      <c r="A60" s="132"/>
      <c r="B60" s="134"/>
      <c r="C60" s="18" t="s">
        <v>51</v>
      </c>
      <c r="D60" s="20" t="s">
        <v>46</v>
      </c>
      <c r="E60" s="13"/>
      <c r="F60" s="39"/>
      <c r="G60" s="13"/>
      <c r="H60" s="13"/>
      <c r="I60" s="13"/>
      <c r="J60" s="13"/>
      <c r="K60" s="13"/>
      <c r="L60" s="13"/>
      <c r="M60" s="13"/>
    </row>
    <row r="61" spans="1:13" s="28" customFormat="1" ht="15.75" hidden="1">
      <c r="A61" s="132"/>
      <c r="B61" s="134"/>
      <c r="C61" s="25"/>
      <c r="D61" s="26" t="s">
        <v>52</v>
      </c>
      <c r="E61" s="27">
        <f>SUM(E51:E54,E56:E60)</f>
        <v>0</v>
      </c>
      <c r="F61" s="27">
        <f>SUM(F51:F54,F56:F60)</f>
        <v>116</v>
      </c>
      <c r="G61" s="27">
        <f>SUM(G51:G54,G56:G60)</f>
        <v>0</v>
      </c>
      <c r="H61" s="27">
        <f>SUM(H51:H54,H56:H60)</f>
        <v>14.32</v>
      </c>
      <c r="I61" s="13">
        <f>H61-G61</f>
        <v>14.32</v>
      </c>
      <c r="J61" s="13"/>
      <c r="K61" s="27">
        <f aca="true" t="shared" si="3" ref="K61:K66">H61/F61*100</f>
        <v>12.344827586206897</v>
      </c>
      <c r="L61" s="13">
        <f t="shared" si="1"/>
        <v>14.32</v>
      </c>
      <c r="M61" s="13"/>
    </row>
    <row r="62" spans="1:13" ht="15.75" hidden="1">
      <c r="A62" s="132"/>
      <c r="B62" s="134"/>
      <c r="C62" s="18" t="s">
        <v>35</v>
      </c>
      <c r="D62" s="20" t="s">
        <v>36</v>
      </c>
      <c r="E62" s="13">
        <f>E63</f>
        <v>263.3</v>
      </c>
      <c r="F62" s="13">
        <f>F63</f>
        <v>1500</v>
      </c>
      <c r="G62" s="13">
        <f>G63</f>
        <v>80</v>
      </c>
      <c r="H62" s="13">
        <f>H63</f>
        <v>30.03</v>
      </c>
      <c r="I62" s="13">
        <f t="shared" si="0"/>
        <v>-49.97</v>
      </c>
      <c r="J62" s="13">
        <f>H62/G62*100</f>
        <v>37.5375</v>
      </c>
      <c r="K62" s="13">
        <f t="shared" si="3"/>
        <v>2.002</v>
      </c>
      <c r="L62" s="13">
        <f t="shared" si="1"/>
        <v>-233.27</v>
      </c>
      <c r="M62" s="13">
        <f>H62/E62*100</f>
        <v>11.405241169768326</v>
      </c>
    </row>
    <row r="63" spans="1:13" ht="31.5" customHeight="1" hidden="1">
      <c r="A63" s="132"/>
      <c r="B63" s="134"/>
      <c r="C63" s="16" t="s">
        <v>39</v>
      </c>
      <c r="D63" s="21" t="s">
        <v>40</v>
      </c>
      <c r="E63" s="13">
        <v>263.3</v>
      </c>
      <c r="F63" s="13">
        <v>1500</v>
      </c>
      <c r="G63" s="13">
        <v>80</v>
      </c>
      <c r="H63" s="13">
        <v>30.03</v>
      </c>
      <c r="I63" s="13">
        <f t="shared" si="0"/>
        <v>-49.97</v>
      </c>
      <c r="J63" s="13">
        <f>H63/G63*100</f>
        <v>37.5375</v>
      </c>
      <c r="K63" s="13">
        <f t="shared" si="3"/>
        <v>2.002</v>
      </c>
      <c r="L63" s="13">
        <f t="shared" si="1"/>
        <v>-233.27</v>
      </c>
      <c r="M63" s="13">
        <f>H63/E63*100</f>
        <v>11.405241169768326</v>
      </c>
    </row>
    <row r="64" spans="1:13" s="28" customFormat="1" ht="15.75" hidden="1">
      <c r="A64" s="132"/>
      <c r="B64" s="134"/>
      <c r="C64" s="25"/>
      <c r="D64" s="26" t="s">
        <v>55</v>
      </c>
      <c r="E64" s="27">
        <f>SUM(E62)</f>
        <v>263.3</v>
      </c>
      <c r="F64" s="27">
        <f>SUM(F62)</f>
        <v>1500</v>
      </c>
      <c r="G64" s="27">
        <f>SUM(G62)</f>
        <v>80</v>
      </c>
      <c r="H64" s="27">
        <f>SUM(H62)</f>
        <v>30.03</v>
      </c>
      <c r="I64" s="13">
        <f t="shared" si="0"/>
        <v>-49.97</v>
      </c>
      <c r="J64" s="13">
        <f>H64/G64*100</f>
        <v>37.5375</v>
      </c>
      <c r="K64" s="27">
        <f t="shared" si="3"/>
        <v>2.002</v>
      </c>
      <c r="L64" s="13">
        <f t="shared" si="1"/>
        <v>-233.27</v>
      </c>
      <c r="M64" s="13">
        <f>H64/E64*100</f>
        <v>11.405241169768326</v>
      </c>
    </row>
    <row r="65" spans="1:13" s="28" customFormat="1" ht="47.25" hidden="1">
      <c r="A65" s="34"/>
      <c r="B65" s="35"/>
      <c r="C65" s="25"/>
      <c r="D65" s="26" t="s">
        <v>56</v>
      </c>
      <c r="E65" s="27">
        <f>E66-E60</f>
        <v>263.3</v>
      </c>
      <c r="F65" s="27">
        <f>F66-F60</f>
        <v>1616</v>
      </c>
      <c r="G65" s="27">
        <f>G66-G60</f>
        <v>80</v>
      </c>
      <c r="H65" s="27">
        <f>H66-H60</f>
        <v>44.35</v>
      </c>
      <c r="I65" s="13">
        <f t="shared" si="0"/>
        <v>-35.65</v>
      </c>
      <c r="J65" s="13">
        <f>H65/G65*100</f>
        <v>55.43750000000001</v>
      </c>
      <c r="K65" s="27">
        <f t="shared" si="3"/>
        <v>2.7444306930693068</v>
      </c>
      <c r="L65" s="13">
        <f t="shared" si="1"/>
        <v>-218.95000000000002</v>
      </c>
      <c r="M65" s="13">
        <f>H65/E65*100</f>
        <v>16.84390429168249</v>
      </c>
    </row>
    <row r="66" spans="1:13" s="33" customFormat="1" ht="15.75" hidden="1">
      <c r="A66" s="42"/>
      <c r="B66" s="42"/>
      <c r="C66" s="30"/>
      <c r="D66" s="31" t="s">
        <v>77</v>
      </c>
      <c r="E66" s="32">
        <f>E61+E64</f>
        <v>263.3</v>
      </c>
      <c r="F66" s="32">
        <f>F61+F64</f>
        <v>1616</v>
      </c>
      <c r="G66" s="32">
        <f>G61+G64</f>
        <v>80</v>
      </c>
      <c r="H66" s="32">
        <f>H61+H64</f>
        <v>44.35</v>
      </c>
      <c r="I66" s="32">
        <f t="shared" si="0"/>
        <v>-35.65</v>
      </c>
      <c r="J66" s="32">
        <f>H66/G66*100</f>
        <v>55.43750000000001</v>
      </c>
      <c r="K66" s="32">
        <f t="shared" si="3"/>
        <v>2.7444306930693068</v>
      </c>
      <c r="L66" s="32">
        <f t="shared" si="1"/>
        <v>-218.95000000000002</v>
      </c>
      <c r="M66" s="32">
        <f>H66/E66*100</f>
        <v>16.84390429168249</v>
      </c>
    </row>
    <row r="67" spans="1:13" s="28" customFormat="1" ht="15.75" customHeight="1" hidden="1">
      <c r="A67" s="130">
        <v>905</v>
      </c>
      <c r="B67" s="130" t="s">
        <v>82</v>
      </c>
      <c r="C67" s="18" t="s">
        <v>41</v>
      </c>
      <c r="D67" s="20" t="s">
        <v>42</v>
      </c>
      <c r="E67" s="39"/>
      <c r="F67" s="39"/>
      <c r="G67" s="39"/>
      <c r="H67" s="39"/>
      <c r="I67" s="13">
        <f t="shared" si="0"/>
        <v>0</v>
      </c>
      <c r="J67" s="13"/>
      <c r="K67" s="13"/>
      <c r="L67" s="13">
        <f t="shared" si="1"/>
        <v>0</v>
      </c>
      <c r="M67" s="13"/>
    </row>
    <row r="68" spans="1:13" s="28" customFormat="1" ht="31.5" hidden="1">
      <c r="A68" s="134"/>
      <c r="B68" s="134"/>
      <c r="C68" s="18" t="s">
        <v>49</v>
      </c>
      <c r="D68" s="20" t="s">
        <v>50</v>
      </c>
      <c r="E68" s="39"/>
      <c r="F68" s="39">
        <v>15</v>
      </c>
      <c r="G68" s="39"/>
      <c r="H68" s="39"/>
      <c r="I68" s="13">
        <f t="shared" si="0"/>
        <v>0</v>
      </c>
      <c r="J68" s="13"/>
      <c r="K68" s="13">
        <f>H68/F68*100</f>
        <v>0</v>
      </c>
      <c r="L68" s="13">
        <f t="shared" si="1"/>
        <v>0</v>
      </c>
      <c r="M68" s="13"/>
    </row>
    <row r="69" spans="1:13" s="33" customFormat="1" ht="15.75" hidden="1">
      <c r="A69" s="136"/>
      <c r="B69" s="136"/>
      <c r="C69" s="30"/>
      <c r="D69" s="31" t="s">
        <v>77</v>
      </c>
      <c r="E69" s="43">
        <f>E67+E68</f>
        <v>0</v>
      </c>
      <c r="F69" s="43">
        <f>F67+F68</f>
        <v>15</v>
      </c>
      <c r="G69" s="43">
        <f>G67+G68</f>
        <v>0</v>
      </c>
      <c r="H69" s="43">
        <f>H67+H68</f>
        <v>0</v>
      </c>
      <c r="I69" s="32">
        <f t="shared" si="0"/>
        <v>0</v>
      </c>
      <c r="J69" s="32"/>
      <c r="K69" s="32">
        <f>H69/F69*100</f>
        <v>0</v>
      </c>
      <c r="L69" s="32">
        <f t="shared" si="1"/>
        <v>0</v>
      </c>
      <c r="M69" s="32"/>
    </row>
    <row r="70" spans="1:13" ht="31.5" customHeight="1" hidden="1">
      <c r="A70" s="128" t="s">
        <v>83</v>
      </c>
      <c r="B70" s="130" t="s">
        <v>84</v>
      </c>
      <c r="C70" s="18" t="s">
        <v>27</v>
      </c>
      <c r="D70" s="22" t="s">
        <v>28</v>
      </c>
      <c r="E70" s="13"/>
      <c r="F70" s="13"/>
      <c r="G70" s="13"/>
      <c r="H70" s="13"/>
      <c r="I70" s="13">
        <f t="shared" si="0"/>
        <v>0</v>
      </c>
      <c r="J70" s="13"/>
      <c r="K70" s="13"/>
      <c r="L70" s="13">
        <f t="shared" si="1"/>
        <v>0</v>
      </c>
      <c r="M70" s="13"/>
    </row>
    <row r="71" spans="1:13" ht="15.75" customHeight="1" hidden="1">
      <c r="A71" s="132"/>
      <c r="B71" s="134"/>
      <c r="C71" s="18" t="s">
        <v>35</v>
      </c>
      <c r="D71" s="20" t="s">
        <v>36</v>
      </c>
      <c r="E71" s="13">
        <f>E72</f>
        <v>0</v>
      </c>
      <c r="F71" s="13">
        <f>F72</f>
        <v>0</v>
      </c>
      <c r="G71" s="13">
        <f>G72</f>
        <v>0</v>
      </c>
      <c r="H71" s="13">
        <f>H72</f>
        <v>0</v>
      </c>
      <c r="I71" s="13">
        <f t="shared" si="0"/>
        <v>0</v>
      </c>
      <c r="J71" s="13"/>
      <c r="K71" s="13"/>
      <c r="L71" s="13">
        <f t="shared" si="1"/>
        <v>0</v>
      </c>
      <c r="M71" s="13"/>
    </row>
    <row r="72" spans="1:13" ht="47.25" customHeight="1" hidden="1">
      <c r="A72" s="132"/>
      <c r="B72" s="134"/>
      <c r="C72" s="16" t="s">
        <v>39</v>
      </c>
      <c r="D72" s="21" t="s">
        <v>40</v>
      </c>
      <c r="E72" s="13"/>
      <c r="F72" s="13"/>
      <c r="G72" s="13"/>
      <c r="H72" s="13"/>
      <c r="I72" s="13">
        <f t="shared" si="0"/>
        <v>0</v>
      </c>
      <c r="J72" s="13"/>
      <c r="K72" s="13"/>
      <c r="L72" s="13">
        <f t="shared" si="1"/>
        <v>0</v>
      </c>
      <c r="M72" s="13"/>
    </row>
    <row r="73" spans="1:13" ht="15.75" customHeight="1" hidden="1">
      <c r="A73" s="132"/>
      <c r="B73" s="134"/>
      <c r="C73" s="18" t="s">
        <v>41</v>
      </c>
      <c r="D73" s="20" t="s">
        <v>42</v>
      </c>
      <c r="E73" s="13"/>
      <c r="F73" s="13"/>
      <c r="G73" s="13"/>
      <c r="H73" s="13"/>
      <c r="I73" s="13">
        <f aca="true" t="shared" si="4" ref="I73:I136">H73-G73</f>
        <v>0</v>
      </c>
      <c r="J73" s="13"/>
      <c r="K73" s="13"/>
      <c r="L73" s="13">
        <f aca="true" t="shared" si="5" ref="L73:L136">H73-E73</f>
        <v>0</v>
      </c>
      <c r="M73" s="13"/>
    </row>
    <row r="74" spans="1:13" ht="15.75" customHeight="1" hidden="1">
      <c r="A74" s="132"/>
      <c r="B74" s="134"/>
      <c r="C74" s="18" t="s">
        <v>49</v>
      </c>
      <c r="D74" s="20" t="s">
        <v>50</v>
      </c>
      <c r="E74" s="13"/>
      <c r="F74" s="13">
        <v>25</v>
      </c>
      <c r="G74" s="13"/>
      <c r="H74" s="13"/>
      <c r="I74" s="13">
        <f t="shared" si="4"/>
        <v>0</v>
      </c>
      <c r="J74" s="13"/>
      <c r="K74" s="13">
        <f aca="true" t="shared" si="6" ref="K74:K79">H74/F74*100</f>
        <v>0</v>
      </c>
      <c r="L74" s="13">
        <f t="shared" si="5"/>
        <v>0</v>
      </c>
      <c r="M74" s="13"/>
    </row>
    <row r="75" spans="1:13" s="28" customFormat="1" ht="15.75" customHeight="1" hidden="1">
      <c r="A75" s="132"/>
      <c r="B75" s="134"/>
      <c r="C75" s="10"/>
      <c r="D75" s="26" t="s">
        <v>52</v>
      </c>
      <c r="E75" s="27">
        <f>SUM(E70:E71,E73:E74)</f>
        <v>0</v>
      </c>
      <c r="F75" s="27">
        <f>SUM(F70:F71,F73:F74)</f>
        <v>25</v>
      </c>
      <c r="G75" s="27">
        <f>SUM(G70:G71,G73:G74)</f>
        <v>0</v>
      </c>
      <c r="H75" s="27">
        <f>SUM(H70:H71,H73:H74)</f>
        <v>0</v>
      </c>
      <c r="I75" s="13">
        <f t="shared" si="4"/>
        <v>0</v>
      </c>
      <c r="J75" s="13"/>
      <c r="K75" s="27">
        <f t="shared" si="6"/>
        <v>0</v>
      </c>
      <c r="L75" s="13">
        <f t="shared" si="5"/>
        <v>0</v>
      </c>
      <c r="M75" s="13"/>
    </row>
    <row r="76" spans="1:13" ht="15.75" hidden="1">
      <c r="A76" s="132"/>
      <c r="B76" s="134"/>
      <c r="C76" s="18" t="s">
        <v>85</v>
      </c>
      <c r="D76" s="20" t="s">
        <v>86</v>
      </c>
      <c r="E76" s="13">
        <v>1394.9</v>
      </c>
      <c r="F76" s="13">
        <v>11611.7</v>
      </c>
      <c r="G76" s="13">
        <v>1277.3</v>
      </c>
      <c r="H76" s="13">
        <v>1206.5</v>
      </c>
      <c r="I76" s="13">
        <f t="shared" si="4"/>
        <v>-70.79999999999995</v>
      </c>
      <c r="J76" s="13">
        <f>H76/G76*100</f>
        <v>94.45705785641589</v>
      </c>
      <c r="K76" s="13">
        <f t="shared" si="6"/>
        <v>10.390382114591317</v>
      </c>
      <c r="L76" s="13">
        <f t="shared" si="5"/>
        <v>-188.4000000000001</v>
      </c>
      <c r="M76" s="13">
        <f>H76/E76*100</f>
        <v>86.49365545917269</v>
      </c>
    </row>
    <row r="77" spans="1:13" ht="15.75" hidden="1">
      <c r="A77" s="132"/>
      <c r="B77" s="134"/>
      <c r="C77" s="18" t="s">
        <v>35</v>
      </c>
      <c r="D77" s="20" t="s">
        <v>36</v>
      </c>
      <c r="E77" s="13">
        <f>SUM(E78:E84)</f>
        <v>822.7</v>
      </c>
      <c r="F77" s="13">
        <f>SUM(F78:F84)</f>
        <v>9233.6</v>
      </c>
      <c r="G77" s="13">
        <f>SUM(G78:G84)</f>
        <v>285.5</v>
      </c>
      <c r="H77" s="13">
        <f>SUM(H78:H84)</f>
        <v>280.88</v>
      </c>
      <c r="I77" s="13">
        <f t="shared" si="4"/>
        <v>-4.6200000000000045</v>
      </c>
      <c r="J77" s="13">
        <f>H77/G77*100</f>
        <v>98.38178633975481</v>
      </c>
      <c r="K77" s="13">
        <f t="shared" si="6"/>
        <v>3.0419338069658637</v>
      </c>
      <c r="L77" s="13">
        <f t="shared" si="5"/>
        <v>-541.82</v>
      </c>
      <c r="M77" s="13">
        <f>H77/E77*100</f>
        <v>34.141242251124346</v>
      </c>
    </row>
    <row r="78" spans="1:13" s="28" customFormat="1" ht="31.5" customHeight="1" hidden="1">
      <c r="A78" s="132"/>
      <c r="B78" s="134"/>
      <c r="C78" s="16" t="s">
        <v>87</v>
      </c>
      <c r="D78" s="21" t="s">
        <v>88</v>
      </c>
      <c r="E78" s="13">
        <v>102.5</v>
      </c>
      <c r="F78" s="13">
        <v>1400</v>
      </c>
      <c r="G78" s="13">
        <v>42</v>
      </c>
      <c r="H78" s="13"/>
      <c r="I78" s="13">
        <f t="shared" si="4"/>
        <v>-42</v>
      </c>
      <c r="J78" s="13">
        <f>H78/G78*100</f>
        <v>0</v>
      </c>
      <c r="K78" s="13">
        <f t="shared" si="6"/>
        <v>0</v>
      </c>
      <c r="L78" s="13">
        <f t="shared" si="5"/>
        <v>-102.5</v>
      </c>
      <c r="M78" s="13">
        <f>H78/E78*100</f>
        <v>0</v>
      </c>
    </row>
    <row r="79" spans="1:13" s="28" customFormat="1" ht="31.5" customHeight="1" hidden="1">
      <c r="A79" s="132"/>
      <c r="B79" s="134"/>
      <c r="C79" s="16" t="s">
        <v>89</v>
      </c>
      <c r="D79" s="21" t="s">
        <v>90</v>
      </c>
      <c r="E79" s="13">
        <v>530.7</v>
      </c>
      <c r="F79" s="13">
        <v>1100</v>
      </c>
      <c r="G79" s="13">
        <v>77</v>
      </c>
      <c r="H79" s="13">
        <v>45.88</v>
      </c>
      <c r="I79" s="13">
        <f t="shared" si="4"/>
        <v>-31.119999999999997</v>
      </c>
      <c r="J79" s="13">
        <f>H79/G79*100</f>
        <v>59.58441558441558</v>
      </c>
      <c r="K79" s="13">
        <f t="shared" si="6"/>
        <v>4.170909090909091</v>
      </c>
      <c r="L79" s="13">
        <f t="shared" si="5"/>
        <v>-484.82000000000005</v>
      </c>
      <c r="M79" s="13">
        <f>H79/E79*100</f>
        <v>8.645185603919352</v>
      </c>
    </row>
    <row r="80" spans="1:13" s="28" customFormat="1" ht="31.5" customHeight="1" hidden="1">
      <c r="A80" s="132"/>
      <c r="B80" s="134"/>
      <c r="C80" s="16" t="s">
        <v>91</v>
      </c>
      <c r="D80" s="21" t="s">
        <v>92</v>
      </c>
      <c r="E80" s="13"/>
      <c r="F80" s="13"/>
      <c r="G80" s="13"/>
      <c r="H80" s="13"/>
      <c r="I80" s="13">
        <f t="shared" si="4"/>
        <v>0</v>
      </c>
      <c r="J80" s="13"/>
      <c r="K80" s="13"/>
      <c r="L80" s="13">
        <f t="shared" si="5"/>
        <v>0</v>
      </c>
      <c r="M80" s="13"/>
    </row>
    <row r="81" spans="1:13" s="28" customFormat="1" ht="31.5" customHeight="1" hidden="1">
      <c r="A81" s="132"/>
      <c r="B81" s="134"/>
      <c r="C81" s="16" t="s">
        <v>93</v>
      </c>
      <c r="D81" s="21" t="s">
        <v>94</v>
      </c>
      <c r="E81" s="13">
        <v>44</v>
      </c>
      <c r="F81" s="13">
        <v>3553.3</v>
      </c>
      <c r="G81" s="13">
        <v>71.1</v>
      </c>
      <c r="H81" s="13">
        <v>235</v>
      </c>
      <c r="I81" s="13">
        <f t="shared" si="4"/>
        <v>163.9</v>
      </c>
      <c r="J81" s="13">
        <f>H81/G81*100</f>
        <v>330.5203938115331</v>
      </c>
      <c r="K81" s="13">
        <f>H81/F81*100</f>
        <v>6.6135704837756455</v>
      </c>
      <c r="L81" s="13">
        <f t="shared" si="5"/>
        <v>191</v>
      </c>
      <c r="M81" s="13">
        <f>H81/E81*100</f>
        <v>534.0909090909091</v>
      </c>
    </row>
    <row r="82" spans="1:13" s="28" customFormat="1" ht="31.5" customHeight="1" hidden="1">
      <c r="A82" s="132"/>
      <c r="B82" s="134"/>
      <c r="C82" s="16" t="s">
        <v>95</v>
      </c>
      <c r="D82" s="21" t="s">
        <v>96</v>
      </c>
      <c r="E82" s="13"/>
      <c r="F82" s="13"/>
      <c r="G82" s="13"/>
      <c r="H82" s="13"/>
      <c r="I82" s="13">
        <f t="shared" si="4"/>
        <v>0</v>
      </c>
      <c r="J82" s="13"/>
      <c r="K82" s="13"/>
      <c r="L82" s="13">
        <f t="shared" si="5"/>
        <v>0</v>
      </c>
      <c r="M82" s="13"/>
    </row>
    <row r="83" spans="1:13" s="28" customFormat="1" ht="31.5" customHeight="1" hidden="1">
      <c r="A83" s="132"/>
      <c r="B83" s="134"/>
      <c r="C83" s="16" t="s">
        <v>97</v>
      </c>
      <c r="D83" s="21" t="s">
        <v>98</v>
      </c>
      <c r="E83" s="13"/>
      <c r="F83" s="13"/>
      <c r="G83" s="13"/>
      <c r="H83" s="13"/>
      <c r="I83" s="13">
        <f t="shared" si="4"/>
        <v>0</v>
      </c>
      <c r="J83" s="13"/>
      <c r="K83" s="13"/>
      <c r="L83" s="13">
        <f t="shared" si="5"/>
        <v>0</v>
      </c>
      <c r="M83" s="13"/>
    </row>
    <row r="84" spans="1:13" ht="47.25" customHeight="1" hidden="1">
      <c r="A84" s="132"/>
      <c r="B84" s="134"/>
      <c r="C84" s="16" t="s">
        <v>39</v>
      </c>
      <c r="D84" s="21" t="s">
        <v>40</v>
      </c>
      <c r="E84" s="13">
        <v>145.5</v>
      </c>
      <c r="F84" s="13">
        <v>3180.3</v>
      </c>
      <c r="G84" s="13">
        <v>95.4</v>
      </c>
      <c r="H84" s="13"/>
      <c r="I84" s="13">
        <f t="shared" si="4"/>
        <v>-95.4</v>
      </c>
      <c r="J84" s="13">
        <f>H84/G84*100</f>
        <v>0</v>
      </c>
      <c r="K84" s="13">
        <f>H84/F84*100</f>
        <v>0</v>
      </c>
      <c r="L84" s="13">
        <f t="shared" si="5"/>
        <v>-145.5</v>
      </c>
      <c r="M84" s="13">
        <f>H84/E84*100</f>
        <v>0</v>
      </c>
    </row>
    <row r="85" spans="1:13" s="28" customFormat="1" ht="15.75" hidden="1">
      <c r="A85" s="132"/>
      <c r="B85" s="134"/>
      <c r="C85" s="36"/>
      <c r="D85" s="26" t="s">
        <v>55</v>
      </c>
      <c r="E85" s="27">
        <f>SUM(E76:E77)</f>
        <v>2217.6000000000004</v>
      </c>
      <c r="F85" s="27">
        <f>SUM(F76:F77)</f>
        <v>20845.300000000003</v>
      </c>
      <c r="G85" s="27">
        <f>SUM(G76:G77)</f>
        <v>1562.8</v>
      </c>
      <c r="H85" s="27">
        <f>SUM(H76:H77)</f>
        <v>1487.38</v>
      </c>
      <c r="I85" s="13">
        <f t="shared" si="4"/>
        <v>-75.41999999999985</v>
      </c>
      <c r="J85" s="13">
        <f>H85/G85*100</f>
        <v>95.17404658305605</v>
      </c>
      <c r="K85" s="27">
        <f>H85/F85*100</f>
        <v>7.135325469050577</v>
      </c>
      <c r="L85" s="13">
        <f t="shared" si="5"/>
        <v>-730.2200000000003</v>
      </c>
      <c r="M85" s="13">
        <f>H85/E85*100</f>
        <v>67.07160894660895</v>
      </c>
    </row>
    <row r="86" spans="1:13" s="33" customFormat="1" ht="15.75" hidden="1">
      <c r="A86" s="135"/>
      <c r="B86" s="136"/>
      <c r="C86" s="41"/>
      <c r="D86" s="31" t="s">
        <v>77</v>
      </c>
      <c r="E86" s="32">
        <f>E75+E85</f>
        <v>2217.6000000000004</v>
      </c>
      <c r="F86" s="32">
        <f>F75+F85</f>
        <v>20870.300000000003</v>
      </c>
      <c r="G86" s="32">
        <f>G75+G85</f>
        <v>1562.8</v>
      </c>
      <c r="H86" s="32">
        <f>H75+H85</f>
        <v>1487.38</v>
      </c>
      <c r="I86" s="32">
        <f t="shared" si="4"/>
        <v>-75.41999999999985</v>
      </c>
      <c r="J86" s="32">
        <f>H86/G86*100</f>
        <v>95.17404658305605</v>
      </c>
      <c r="K86" s="32">
        <f>H86/F86*100</f>
        <v>7.126778244682634</v>
      </c>
      <c r="L86" s="32">
        <f t="shared" si="5"/>
        <v>-730.2200000000003</v>
      </c>
      <c r="M86" s="32">
        <f>H86/E86*100</f>
        <v>67.07160894660895</v>
      </c>
    </row>
    <row r="87" spans="1:13" ht="15.75" hidden="1">
      <c r="A87" s="128" t="s">
        <v>99</v>
      </c>
      <c r="B87" s="130" t="s">
        <v>100</v>
      </c>
      <c r="C87" s="18" t="s">
        <v>21</v>
      </c>
      <c r="D87" s="19" t="s">
        <v>22</v>
      </c>
      <c r="E87" s="39"/>
      <c r="F87" s="39"/>
      <c r="G87" s="39"/>
      <c r="H87" s="39"/>
      <c r="I87" s="13">
        <f t="shared" si="4"/>
        <v>0</v>
      </c>
      <c r="J87" s="13"/>
      <c r="K87" s="13"/>
      <c r="L87" s="13">
        <f t="shared" si="5"/>
        <v>0</v>
      </c>
      <c r="M87" s="13"/>
    </row>
    <row r="88" spans="1:13" ht="31.5" hidden="1">
      <c r="A88" s="132"/>
      <c r="B88" s="134"/>
      <c r="C88" s="18" t="s">
        <v>27</v>
      </c>
      <c r="D88" s="22" t="s">
        <v>28</v>
      </c>
      <c r="E88" s="39"/>
      <c r="F88" s="39"/>
      <c r="G88" s="39"/>
      <c r="H88" s="39">
        <v>6</v>
      </c>
      <c r="I88" s="13">
        <f t="shared" si="4"/>
        <v>6</v>
      </c>
      <c r="J88" s="13"/>
      <c r="K88" s="13"/>
      <c r="L88" s="13">
        <f t="shared" si="5"/>
        <v>6</v>
      </c>
      <c r="M88" s="13"/>
    </row>
    <row r="89" spans="1:13" ht="111.75" customHeight="1" hidden="1">
      <c r="A89" s="132"/>
      <c r="B89" s="134"/>
      <c r="C89" s="16" t="s">
        <v>29</v>
      </c>
      <c r="D89" s="23" t="s">
        <v>30</v>
      </c>
      <c r="E89" s="39">
        <v>5</v>
      </c>
      <c r="F89" s="39"/>
      <c r="G89" s="39"/>
      <c r="H89" s="39">
        <v>9.34</v>
      </c>
      <c r="I89" s="13">
        <f t="shared" si="4"/>
        <v>9.34</v>
      </c>
      <c r="J89" s="13"/>
      <c r="K89" s="13"/>
      <c r="L89" s="13">
        <f t="shared" si="5"/>
        <v>4.34</v>
      </c>
      <c r="M89" s="13">
        <f>H89/E89*100</f>
        <v>186.79999999999998</v>
      </c>
    </row>
    <row r="90" spans="1:13" ht="15.75" hidden="1">
      <c r="A90" s="132"/>
      <c r="B90" s="134"/>
      <c r="C90" s="18" t="s">
        <v>35</v>
      </c>
      <c r="D90" s="20" t="s">
        <v>36</v>
      </c>
      <c r="E90" s="13">
        <f>E91</f>
        <v>0</v>
      </c>
      <c r="F90" s="13">
        <f>F91</f>
        <v>0</v>
      </c>
      <c r="G90" s="13">
        <f>G91</f>
        <v>0</v>
      </c>
      <c r="H90" s="13">
        <f>H91</f>
        <v>0</v>
      </c>
      <c r="I90" s="13">
        <f t="shared" si="4"/>
        <v>0</v>
      </c>
      <c r="J90" s="13"/>
      <c r="K90" s="13"/>
      <c r="L90" s="13">
        <f t="shared" si="5"/>
        <v>0</v>
      </c>
      <c r="M90" s="13"/>
    </row>
    <row r="91" spans="1:13" ht="47.25" customHeight="1" hidden="1">
      <c r="A91" s="132"/>
      <c r="B91" s="134"/>
      <c r="C91" s="16" t="s">
        <v>39</v>
      </c>
      <c r="D91" s="21" t="s">
        <v>40</v>
      </c>
      <c r="E91" s="13"/>
      <c r="F91" s="13"/>
      <c r="G91" s="13"/>
      <c r="H91" s="13"/>
      <c r="I91" s="13">
        <f t="shared" si="4"/>
        <v>0</v>
      </c>
      <c r="J91" s="13"/>
      <c r="K91" s="13"/>
      <c r="L91" s="13">
        <f t="shared" si="5"/>
        <v>0</v>
      </c>
      <c r="M91" s="13"/>
    </row>
    <row r="92" spans="1:13" ht="15.75" customHeight="1" hidden="1">
      <c r="A92" s="132"/>
      <c r="B92" s="134"/>
      <c r="C92" s="18" t="s">
        <v>41</v>
      </c>
      <c r="D92" s="20" t="s">
        <v>42</v>
      </c>
      <c r="E92" s="39"/>
      <c r="F92" s="39"/>
      <c r="G92" s="39"/>
      <c r="H92" s="39"/>
      <c r="I92" s="13">
        <f t="shared" si="4"/>
        <v>0</v>
      </c>
      <c r="J92" s="13"/>
      <c r="K92" s="13"/>
      <c r="L92" s="13">
        <f t="shared" si="5"/>
        <v>0</v>
      </c>
      <c r="M92" s="13"/>
    </row>
    <row r="93" spans="1:13" ht="15.75" customHeight="1" hidden="1">
      <c r="A93" s="132"/>
      <c r="B93" s="134"/>
      <c r="C93" s="18" t="s">
        <v>43</v>
      </c>
      <c r="D93" s="20" t="s">
        <v>44</v>
      </c>
      <c r="E93" s="39"/>
      <c r="F93" s="39"/>
      <c r="G93" s="39"/>
      <c r="H93" s="39"/>
      <c r="I93" s="13">
        <f t="shared" si="4"/>
        <v>0</v>
      </c>
      <c r="J93" s="13"/>
      <c r="K93" s="13"/>
      <c r="L93" s="13">
        <f t="shared" si="5"/>
        <v>0</v>
      </c>
      <c r="M93" s="13"/>
    </row>
    <row r="94" spans="1:13" ht="15.75" customHeight="1" hidden="1">
      <c r="A94" s="132"/>
      <c r="B94" s="134"/>
      <c r="C94" s="18" t="s">
        <v>45</v>
      </c>
      <c r="D94" s="20" t="s">
        <v>46</v>
      </c>
      <c r="F94" s="39"/>
      <c r="G94" s="39"/>
      <c r="H94" s="39"/>
      <c r="I94" s="13">
        <f t="shared" si="4"/>
        <v>0</v>
      </c>
      <c r="J94" s="13"/>
      <c r="K94" s="13"/>
      <c r="L94" s="13"/>
      <c r="M94" s="13">
        <f>H94/E98*100</f>
        <v>0</v>
      </c>
    </row>
    <row r="95" spans="1:13" ht="21" customHeight="1" hidden="1">
      <c r="A95" s="132"/>
      <c r="B95" s="134"/>
      <c r="C95" s="18" t="s">
        <v>47</v>
      </c>
      <c r="D95" s="20" t="s">
        <v>48</v>
      </c>
      <c r="E95" s="39"/>
      <c r="F95" s="44"/>
      <c r="G95" s="39"/>
      <c r="H95" s="39"/>
      <c r="I95" s="13">
        <f t="shared" si="4"/>
        <v>0</v>
      </c>
      <c r="J95" s="13"/>
      <c r="K95" s="13"/>
      <c r="L95" s="13">
        <f t="shared" si="5"/>
        <v>0</v>
      </c>
      <c r="M95" s="13"/>
    </row>
    <row r="96" spans="1:13" ht="31.5" hidden="1">
      <c r="A96" s="132"/>
      <c r="B96" s="134"/>
      <c r="C96" s="18" t="s">
        <v>49</v>
      </c>
      <c r="D96" s="20" t="s">
        <v>101</v>
      </c>
      <c r="E96" s="39">
        <v>1342.7</v>
      </c>
      <c r="F96" s="39">
        <f>(19460.8-0.024)+3700+77468.9</f>
        <v>100629.67599999999</v>
      </c>
      <c r="G96" s="39">
        <f>3750.94+19367.22</f>
        <v>23118.16</v>
      </c>
      <c r="H96" s="39">
        <v>1765.23</v>
      </c>
      <c r="I96" s="13">
        <f t="shared" si="4"/>
        <v>-21352.93</v>
      </c>
      <c r="J96" s="13">
        <f>H96/G96*100</f>
        <v>7.6356855389875316</v>
      </c>
      <c r="K96" s="13">
        <f>H96/F96*100</f>
        <v>1.7541843223265474</v>
      </c>
      <c r="L96" s="13">
        <f t="shared" si="5"/>
        <v>422.53</v>
      </c>
      <c r="M96" s="13">
        <f>H96/E96*100</f>
        <v>131.46868250539956</v>
      </c>
    </row>
    <row r="97" spans="1:13" ht="15.75" customHeight="1" hidden="1">
      <c r="A97" s="132"/>
      <c r="B97" s="134"/>
      <c r="C97" s="18" t="s">
        <v>80</v>
      </c>
      <c r="D97" s="20" t="s">
        <v>102</v>
      </c>
      <c r="E97" s="39"/>
      <c r="F97" s="39"/>
      <c r="G97" s="39"/>
      <c r="H97" s="39"/>
      <c r="I97" s="13">
        <f t="shared" si="4"/>
        <v>0</v>
      </c>
      <c r="J97" s="13"/>
      <c r="K97" s="13"/>
      <c r="L97" s="13">
        <f t="shared" si="5"/>
        <v>0</v>
      </c>
      <c r="M97" s="13"/>
    </row>
    <row r="98" spans="1:13" ht="15.75" customHeight="1" hidden="1">
      <c r="A98" s="132"/>
      <c r="B98" s="134"/>
      <c r="C98" s="18" t="s">
        <v>51</v>
      </c>
      <c r="D98" s="20" t="s">
        <v>46</v>
      </c>
      <c r="E98" s="39">
        <v>-2817.5</v>
      </c>
      <c r="F98" s="39"/>
      <c r="G98" s="39"/>
      <c r="H98" s="39">
        <v>-23948.79</v>
      </c>
      <c r="I98" s="13">
        <f t="shared" si="4"/>
        <v>-23948.79</v>
      </c>
      <c r="J98" s="13"/>
      <c r="K98" s="13"/>
      <c r="L98" s="13">
        <f t="shared" si="5"/>
        <v>-21131.29</v>
      </c>
      <c r="M98" s="13">
        <f>H98/E98*100</f>
        <v>850.0014196983141</v>
      </c>
    </row>
    <row r="99" spans="1:13" s="28" customFormat="1" ht="15.75" customHeight="1" hidden="1">
      <c r="A99" s="132"/>
      <c r="B99" s="134"/>
      <c r="C99" s="25"/>
      <c r="D99" s="26" t="s">
        <v>52</v>
      </c>
      <c r="E99" s="27">
        <f>SUM(E87:E90,E92:E98)</f>
        <v>-1469.8</v>
      </c>
      <c r="F99" s="27">
        <f>SUM(F87:F90,F92:F98)</f>
        <v>100629.67599999999</v>
      </c>
      <c r="G99" s="27">
        <f>SUM(G87:G90,G92:G98)</f>
        <v>23118.16</v>
      </c>
      <c r="H99" s="27">
        <f>SUM(H87:H90,H92:H98)</f>
        <v>-22168.22</v>
      </c>
      <c r="I99" s="13">
        <f t="shared" si="4"/>
        <v>-45286.380000000005</v>
      </c>
      <c r="J99" s="13">
        <f aca="true" t="shared" si="7" ref="J99:J104">H99/G99*100</f>
        <v>-95.89093595684086</v>
      </c>
      <c r="K99" s="27">
        <f aca="true" t="shared" si="8" ref="K99:K104">H99/F99*100</f>
        <v>-22.029505491004468</v>
      </c>
      <c r="L99" s="13">
        <f t="shared" si="5"/>
        <v>-20698.420000000002</v>
      </c>
      <c r="M99" s="13">
        <f aca="true" t="shared" si="9" ref="M99:M104">H99/E99*100</f>
        <v>1508.2473805959996</v>
      </c>
    </row>
    <row r="100" spans="1:13" ht="15.75" hidden="1">
      <c r="A100" s="133"/>
      <c r="B100" s="133"/>
      <c r="C100" s="18" t="s">
        <v>35</v>
      </c>
      <c r="D100" s="20" t="s">
        <v>36</v>
      </c>
      <c r="E100" s="13">
        <f>E101</f>
        <v>0</v>
      </c>
      <c r="F100" s="13">
        <f>F101</f>
        <v>600</v>
      </c>
      <c r="G100" s="13">
        <f>G101</f>
        <v>50</v>
      </c>
      <c r="H100" s="13">
        <f>H101</f>
        <v>13</v>
      </c>
      <c r="I100" s="13">
        <f t="shared" si="4"/>
        <v>-37</v>
      </c>
      <c r="J100" s="13">
        <f t="shared" si="7"/>
        <v>26</v>
      </c>
      <c r="K100" s="13">
        <f t="shared" si="8"/>
        <v>2.166666666666667</v>
      </c>
      <c r="L100" s="13">
        <f t="shared" si="5"/>
        <v>13</v>
      </c>
      <c r="M100" s="13"/>
    </row>
    <row r="101" spans="1:13" ht="47.25" customHeight="1" hidden="1">
      <c r="A101" s="133"/>
      <c r="B101" s="133"/>
      <c r="C101" s="16" t="s">
        <v>39</v>
      </c>
      <c r="D101" s="21" t="s">
        <v>40</v>
      </c>
      <c r="E101" s="13"/>
      <c r="F101" s="13">
        <v>600</v>
      </c>
      <c r="G101" s="13">
        <v>50</v>
      </c>
      <c r="H101" s="13">
        <v>13</v>
      </c>
      <c r="I101" s="13">
        <f t="shared" si="4"/>
        <v>-37</v>
      </c>
      <c r="J101" s="13">
        <f t="shared" si="7"/>
        <v>26</v>
      </c>
      <c r="K101" s="13">
        <f t="shared" si="8"/>
        <v>2.166666666666667</v>
      </c>
      <c r="L101" s="13">
        <f t="shared" si="5"/>
        <v>13</v>
      </c>
      <c r="M101" s="13"/>
    </row>
    <row r="102" spans="1:13" s="28" customFormat="1" ht="15.75" customHeight="1" hidden="1">
      <c r="A102" s="133"/>
      <c r="B102" s="133"/>
      <c r="C102" s="25"/>
      <c r="D102" s="26" t="s">
        <v>55</v>
      </c>
      <c r="E102" s="27">
        <f>SUM(E100)</f>
        <v>0</v>
      </c>
      <c r="F102" s="27">
        <f>SUM(F100)</f>
        <v>600</v>
      </c>
      <c r="G102" s="27">
        <f>SUM(G100)</f>
        <v>50</v>
      </c>
      <c r="H102" s="27">
        <f>SUM(H100)</f>
        <v>13</v>
      </c>
      <c r="I102" s="13">
        <f t="shared" si="4"/>
        <v>-37</v>
      </c>
      <c r="J102" s="13">
        <f t="shared" si="7"/>
        <v>26</v>
      </c>
      <c r="K102" s="27">
        <f t="shared" si="8"/>
        <v>2.166666666666667</v>
      </c>
      <c r="L102" s="13">
        <f t="shared" si="5"/>
        <v>13</v>
      </c>
      <c r="M102" s="13"/>
    </row>
    <row r="103" spans="1:13" s="28" customFormat="1" ht="47.25" hidden="1">
      <c r="A103" s="133"/>
      <c r="B103" s="133"/>
      <c r="C103" s="25"/>
      <c r="D103" s="26" t="s">
        <v>56</v>
      </c>
      <c r="E103" s="27">
        <f>E104-E98</f>
        <v>1347.7</v>
      </c>
      <c r="F103" s="27">
        <f>F104-F98</f>
        <v>101229.67599999999</v>
      </c>
      <c r="G103" s="27">
        <f>G104-G98</f>
        <v>23168.16</v>
      </c>
      <c r="H103" s="27">
        <f>H104-H98</f>
        <v>1793.5699999999997</v>
      </c>
      <c r="I103" s="13">
        <f t="shared" si="4"/>
        <v>-21374.59</v>
      </c>
      <c r="J103" s="13">
        <f t="shared" si="7"/>
        <v>7.741529754628765</v>
      </c>
      <c r="K103" s="27">
        <f t="shared" si="8"/>
        <v>1.771782811988848</v>
      </c>
      <c r="L103" s="13">
        <f t="shared" si="5"/>
        <v>445.86999999999966</v>
      </c>
      <c r="M103" s="13">
        <f t="shared" si="9"/>
        <v>133.0837723528975</v>
      </c>
    </row>
    <row r="104" spans="1:13" s="33" customFormat="1" ht="15.75" hidden="1">
      <c r="A104" s="129"/>
      <c r="B104" s="129"/>
      <c r="C104" s="30"/>
      <c r="D104" s="31" t="s">
        <v>77</v>
      </c>
      <c r="E104" s="32">
        <f>E99+E102</f>
        <v>-1469.8</v>
      </c>
      <c r="F104" s="32">
        <f>F99+F102</f>
        <v>101229.67599999999</v>
      </c>
      <c r="G104" s="32">
        <f>G99+G102</f>
        <v>23168.16</v>
      </c>
      <c r="H104" s="32">
        <f>H99+H102</f>
        <v>-22155.22</v>
      </c>
      <c r="I104" s="32">
        <f t="shared" si="4"/>
        <v>-45323.380000000005</v>
      </c>
      <c r="J104" s="32">
        <f t="shared" si="7"/>
        <v>-95.62787895111222</v>
      </c>
      <c r="K104" s="32">
        <f t="shared" si="8"/>
        <v>-21.88609197958907</v>
      </c>
      <c r="L104" s="32">
        <f t="shared" si="5"/>
        <v>-20685.420000000002</v>
      </c>
      <c r="M104" s="32">
        <f t="shared" si="9"/>
        <v>1507.3629065178936</v>
      </c>
    </row>
    <row r="105" spans="1:13" s="28" customFormat="1" ht="31.5" customHeight="1" hidden="1">
      <c r="A105" s="128" t="s">
        <v>103</v>
      </c>
      <c r="B105" s="130" t="s">
        <v>104</v>
      </c>
      <c r="C105" s="18" t="s">
        <v>27</v>
      </c>
      <c r="D105" s="22" t="s">
        <v>28</v>
      </c>
      <c r="E105" s="13"/>
      <c r="F105" s="27"/>
      <c r="G105" s="27"/>
      <c r="H105" s="13"/>
      <c r="I105" s="13">
        <f t="shared" si="4"/>
        <v>0</v>
      </c>
      <c r="J105" s="13"/>
      <c r="K105" s="13"/>
      <c r="L105" s="13">
        <f t="shared" si="5"/>
        <v>0</v>
      </c>
      <c r="M105" s="13"/>
    </row>
    <row r="106" spans="1:13" s="28" customFormat="1" ht="78.75" customHeight="1" hidden="1">
      <c r="A106" s="132"/>
      <c r="B106" s="134"/>
      <c r="C106" s="16" t="s">
        <v>29</v>
      </c>
      <c r="D106" s="23" t="s">
        <v>30</v>
      </c>
      <c r="E106" s="13"/>
      <c r="F106" s="27"/>
      <c r="G106" s="27"/>
      <c r="H106" s="13"/>
      <c r="I106" s="13">
        <f t="shared" si="4"/>
        <v>0</v>
      </c>
      <c r="J106" s="13"/>
      <c r="K106" s="13"/>
      <c r="L106" s="13">
        <f t="shared" si="5"/>
        <v>0</v>
      </c>
      <c r="M106" s="13" t="e">
        <f>H106/E106*100</f>
        <v>#DIV/0!</v>
      </c>
    </row>
    <row r="107" spans="1:13" ht="15.75" customHeight="1" hidden="1">
      <c r="A107" s="133"/>
      <c r="B107" s="133"/>
      <c r="C107" s="18" t="s">
        <v>35</v>
      </c>
      <c r="D107" s="20" t="s">
        <v>36</v>
      </c>
      <c r="E107" s="13">
        <f>SUM(E108:E109)</f>
        <v>0</v>
      </c>
      <c r="F107" s="13">
        <f>SUM(F108:F109)</f>
        <v>0</v>
      </c>
      <c r="G107" s="13">
        <f>SUM(G108:G109)</f>
        <v>0</v>
      </c>
      <c r="H107" s="13">
        <f>SUM(H108:H109)</f>
        <v>0</v>
      </c>
      <c r="I107" s="13">
        <f t="shared" si="4"/>
        <v>0</v>
      </c>
      <c r="J107" s="13"/>
      <c r="K107" s="13"/>
      <c r="L107" s="13">
        <f t="shared" si="5"/>
        <v>0</v>
      </c>
      <c r="M107" s="13" t="e">
        <f>H107/E107*100</f>
        <v>#DIV/0!</v>
      </c>
    </row>
    <row r="108" spans="1:13" ht="15.75" customHeight="1" hidden="1">
      <c r="A108" s="133"/>
      <c r="B108" s="133"/>
      <c r="C108" s="16" t="s">
        <v>60</v>
      </c>
      <c r="D108" s="21" t="s">
        <v>61</v>
      </c>
      <c r="E108" s="13"/>
      <c r="F108" s="13"/>
      <c r="G108" s="13"/>
      <c r="H108" s="13"/>
      <c r="I108" s="13">
        <f t="shared" si="4"/>
        <v>0</v>
      </c>
      <c r="J108" s="13"/>
      <c r="K108" s="13"/>
      <c r="L108" s="13">
        <f t="shared" si="5"/>
        <v>0</v>
      </c>
      <c r="M108" s="13"/>
    </row>
    <row r="109" spans="1:13" ht="47.25" customHeight="1" hidden="1">
      <c r="A109" s="133"/>
      <c r="B109" s="133"/>
      <c r="C109" s="16" t="s">
        <v>39</v>
      </c>
      <c r="D109" s="21" t="s">
        <v>40</v>
      </c>
      <c r="E109" s="13"/>
      <c r="F109" s="13"/>
      <c r="G109" s="13"/>
      <c r="H109" s="13"/>
      <c r="I109" s="13">
        <f t="shared" si="4"/>
        <v>0</v>
      </c>
      <c r="J109" s="13"/>
      <c r="K109" s="13"/>
      <c r="L109" s="13">
        <f t="shared" si="5"/>
        <v>0</v>
      </c>
      <c r="M109" s="13"/>
    </row>
    <row r="110" spans="1:13" ht="15.75" hidden="1">
      <c r="A110" s="133"/>
      <c r="B110" s="133"/>
      <c r="C110" s="18" t="s">
        <v>41</v>
      </c>
      <c r="D110" s="20" t="s">
        <v>42</v>
      </c>
      <c r="E110" s="13">
        <v>-16.7</v>
      </c>
      <c r="F110" s="13"/>
      <c r="G110" s="13"/>
      <c r="H110" s="13"/>
      <c r="I110" s="13">
        <f t="shared" si="4"/>
        <v>0</v>
      </c>
      <c r="J110" s="13"/>
      <c r="K110" s="13"/>
      <c r="L110" s="13">
        <f t="shared" si="5"/>
        <v>16.7</v>
      </c>
      <c r="M110" s="13">
        <f>H110/E110*100</f>
        <v>0</v>
      </c>
    </row>
    <row r="111" spans="1:13" ht="15.75" customHeight="1" hidden="1">
      <c r="A111" s="133"/>
      <c r="B111" s="133"/>
      <c r="C111" s="18" t="s">
        <v>43</v>
      </c>
      <c r="D111" s="20" t="s">
        <v>44</v>
      </c>
      <c r="E111" s="13"/>
      <c r="F111" s="13"/>
      <c r="G111" s="13"/>
      <c r="H111" s="13"/>
      <c r="I111" s="13">
        <f t="shared" si="4"/>
        <v>0</v>
      </c>
      <c r="J111" s="13"/>
      <c r="K111" s="13"/>
      <c r="L111" s="13">
        <f t="shared" si="5"/>
        <v>0</v>
      </c>
      <c r="M111" s="13" t="e">
        <f aca="true" t="shared" si="10" ref="M111:M116">H111/E111*100</f>
        <v>#DIV/0!</v>
      </c>
    </row>
    <row r="112" spans="1:13" ht="15.75" customHeight="1" hidden="1">
      <c r="A112" s="133"/>
      <c r="B112" s="133"/>
      <c r="C112" s="18" t="s">
        <v>45</v>
      </c>
      <c r="D112" s="20" t="s">
        <v>46</v>
      </c>
      <c r="F112" s="13"/>
      <c r="G112" s="13"/>
      <c r="H112" s="13"/>
      <c r="I112" s="13">
        <f t="shared" si="4"/>
        <v>0</v>
      </c>
      <c r="J112" s="13"/>
      <c r="K112" s="13"/>
      <c r="L112" s="13">
        <f t="shared" si="5"/>
        <v>0</v>
      </c>
      <c r="M112" s="13" t="e">
        <f t="shared" si="10"/>
        <v>#DIV/0!</v>
      </c>
    </row>
    <row r="113" spans="1:13" ht="15.75" hidden="1">
      <c r="A113" s="133"/>
      <c r="B113" s="133"/>
      <c r="C113" s="18" t="s">
        <v>47</v>
      </c>
      <c r="D113" s="20" t="s">
        <v>48</v>
      </c>
      <c r="E113" s="13"/>
      <c r="F113" s="13"/>
      <c r="G113" s="13"/>
      <c r="H113" s="13"/>
      <c r="I113" s="13">
        <f t="shared" si="4"/>
        <v>0</v>
      </c>
      <c r="J113" s="13"/>
      <c r="K113" s="13"/>
      <c r="L113" s="13">
        <f t="shared" si="5"/>
        <v>0</v>
      </c>
      <c r="M113" s="13" t="e">
        <f t="shared" si="10"/>
        <v>#DIV/0!</v>
      </c>
    </row>
    <row r="114" spans="1:13" ht="15.75" customHeight="1" hidden="1">
      <c r="A114" s="133"/>
      <c r="B114" s="133"/>
      <c r="C114" s="18" t="s">
        <v>49</v>
      </c>
      <c r="D114" s="20" t="s">
        <v>101</v>
      </c>
      <c r="E114" s="13"/>
      <c r="F114" s="13">
        <v>300</v>
      </c>
      <c r="G114" s="13"/>
      <c r="H114" s="13"/>
      <c r="I114" s="13">
        <f t="shared" si="4"/>
        <v>0</v>
      </c>
      <c r="J114" s="13"/>
      <c r="K114" s="13">
        <f>H114/F114*100</f>
        <v>0</v>
      </c>
      <c r="L114" s="13">
        <f t="shared" si="5"/>
        <v>0</v>
      </c>
      <c r="M114" s="13"/>
    </row>
    <row r="115" spans="1:13" ht="15.75" customHeight="1" hidden="1">
      <c r="A115" s="133"/>
      <c r="B115" s="133"/>
      <c r="C115" s="18" t="s">
        <v>69</v>
      </c>
      <c r="D115" s="21" t="s">
        <v>70</v>
      </c>
      <c r="E115" s="13"/>
      <c r="F115" s="13">
        <v>2433.9</v>
      </c>
      <c r="G115" s="13"/>
      <c r="H115" s="13"/>
      <c r="I115" s="13">
        <f t="shared" si="4"/>
        <v>0</v>
      </c>
      <c r="J115" s="13"/>
      <c r="K115" s="13">
        <f>H115/F115*100</f>
        <v>0</v>
      </c>
      <c r="L115" s="13">
        <f t="shared" si="5"/>
        <v>0</v>
      </c>
      <c r="M115" s="13"/>
    </row>
    <row r="116" spans="1:13" ht="15.75" customHeight="1" hidden="1">
      <c r="A116" s="133"/>
      <c r="B116" s="133"/>
      <c r="C116" s="18" t="s">
        <v>51</v>
      </c>
      <c r="D116" s="20" t="s">
        <v>46</v>
      </c>
      <c r="E116" s="13">
        <v>-2</v>
      </c>
      <c r="F116" s="13"/>
      <c r="G116" s="13"/>
      <c r="H116" s="13">
        <v>-172.4</v>
      </c>
      <c r="I116" s="13">
        <f t="shared" si="4"/>
        <v>-172.4</v>
      </c>
      <c r="J116" s="13"/>
      <c r="K116" s="13"/>
      <c r="L116" s="13">
        <f t="shared" si="5"/>
        <v>-170.4</v>
      </c>
      <c r="M116" s="13">
        <f t="shared" si="10"/>
        <v>8620</v>
      </c>
    </row>
    <row r="117" spans="1:13" s="28" customFormat="1" ht="47.25" hidden="1">
      <c r="A117" s="133"/>
      <c r="B117" s="133"/>
      <c r="C117" s="36"/>
      <c r="D117" s="26" t="s">
        <v>56</v>
      </c>
      <c r="E117" s="27">
        <f>E118-E116</f>
        <v>-16.7</v>
      </c>
      <c r="F117" s="27">
        <f>F118-F116</f>
        <v>2733.9</v>
      </c>
      <c r="G117" s="27">
        <f>G118-G116</f>
        <v>0</v>
      </c>
      <c r="H117" s="27">
        <f>H118-H116</f>
        <v>0</v>
      </c>
      <c r="I117" s="13">
        <f t="shared" si="4"/>
        <v>0</v>
      </c>
      <c r="J117" s="13"/>
      <c r="K117" s="27">
        <f>H117/F117*100</f>
        <v>0</v>
      </c>
      <c r="L117" s="13"/>
      <c r="M117" s="13">
        <f>H117/E117*100</f>
        <v>0</v>
      </c>
    </row>
    <row r="118" spans="1:13" s="33" customFormat="1" ht="15.75" hidden="1">
      <c r="A118" s="129"/>
      <c r="B118" s="129"/>
      <c r="C118" s="45"/>
      <c r="D118" s="31" t="s">
        <v>77</v>
      </c>
      <c r="E118" s="32">
        <f>SUM(E105:E107,E110:E116)</f>
        <v>-18.7</v>
      </c>
      <c r="F118" s="32">
        <f>SUM(F105:F107,F110:F116)</f>
        <v>2733.9</v>
      </c>
      <c r="G118" s="32">
        <f>SUM(G105:G107,G110:G116)</f>
        <v>0</v>
      </c>
      <c r="H118" s="32">
        <f>SUM(H105:H107,H110:H116)</f>
        <v>-172.4</v>
      </c>
      <c r="I118" s="32">
        <f t="shared" si="4"/>
        <v>-172.4</v>
      </c>
      <c r="J118" s="32"/>
      <c r="K118" s="32">
        <f>H118/F118*100</f>
        <v>-6.306009729690186</v>
      </c>
      <c r="L118" s="32">
        <f t="shared" si="5"/>
        <v>-153.70000000000002</v>
      </c>
      <c r="M118" s="32">
        <f>H118/E118*100</f>
        <v>921.9251336898398</v>
      </c>
    </row>
    <row r="119" spans="1:13" s="28" customFormat="1" ht="31.5" hidden="1">
      <c r="A119" s="130">
        <v>926</v>
      </c>
      <c r="B119" s="130" t="s">
        <v>105</v>
      </c>
      <c r="C119" s="18" t="s">
        <v>27</v>
      </c>
      <c r="D119" s="22" t="s">
        <v>28</v>
      </c>
      <c r="E119" s="13"/>
      <c r="F119" s="13"/>
      <c r="G119" s="13"/>
      <c r="H119" s="13"/>
      <c r="I119" s="13">
        <f t="shared" si="4"/>
        <v>0</v>
      </c>
      <c r="J119" s="13"/>
      <c r="K119" s="13"/>
      <c r="L119" s="13">
        <f t="shared" si="5"/>
        <v>0</v>
      </c>
      <c r="M119" s="13"/>
    </row>
    <row r="120" spans="1:13" s="28" customFormat="1" ht="15.75" hidden="1">
      <c r="A120" s="134"/>
      <c r="B120" s="134"/>
      <c r="C120" s="18" t="s">
        <v>41</v>
      </c>
      <c r="D120" s="20" t="s">
        <v>42</v>
      </c>
      <c r="E120" s="13"/>
      <c r="F120" s="13"/>
      <c r="G120" s="13"/>
      <c r="H120" s="13"/>
      <c r="I120" s="13">
        <f t="shared" si="4"/>
        <v>0</v>
      </c>
      <c r="J120" s="13"/>
      <c r="K120" s="13"/>
      <c r="L120" s="13">
        <f t="shared" si="5"/>
        <v>0</v>
      </c>
      <c r="M120" s="13"/>
    </row>
    <row r="121" spans="1:13" s="28" customFormat="1" ht="15.75" customHeight="1" hidden="1">
      <c r="A121" s="134"/>
      <c r="B121" s="134"/>
      <c r="C121" s="18" t="s">
        <v>47</v>
      </c>
      <c r="D121" s="20" t="s">
        <v>48</v>
      </c>
      <c r="E121" s="13"/>
      <c r="F121" s="13"/>
      <c r="G121" s="13"/>
      <c r="H121" s="13"/>
      <c r="I121" s="13">
        <f t="shared" si="4"/>
        <v>0</v>
      </c>
      <c r="J121" s="13"/>
      <c r="K121" s="13"/>
      <c r="L121" s="13">
        <f t="shared" si="5"/>
        <v>0</v>
      </c>
      <c r="M121" s="13"/>
    </row>
    <row r="122" spans="1:13" s="28" customFormat="1" ht="31.5" hidden="1">
      <c r="A122" s="134"/>
      <c r="B122" s="134"/>
      <c r="C122" s="18" t="s">
        <v>49</v>
      </c>
      <c r="D122" s="20" t="s">
        <v>101</v>
      </c>
      <c r="E122" s="13"/>
      <c r="F122" s="13">
        <v>15</v>
      </c>
      <c r="G122" s="13"/>
      <c r="H122" s="13"/>
      <c r="I122" s="13">
        <f t="shared" si="4"/>
        <v>0</v>
      </c>
      <c r="J122" s="13"/>
      <c r="K122" s="13">
        <f>H122/F122*100</f>
        <v>0</v>
      </c>
      <c r="L122" s="13">
        <f t="shared" si="5"/>
        <v>0</v>
      </c>
      <c r="M122" s="13"/>
    </row>
    <row r="123" spans="1:13" s="33" customFormat="1" ht="15.75" hidden="1">
      <c r="A123" s="136"/>
      <c r="B123" s="136"/>
      <c r="C123" s="45"/>
      <c r="D123" s="31" t="s">
        <v>77</v>
      </c>
      <c r="E123" s="32">
        <f>SUM(E119:E122)</f>
        <v>0</v>
      </c>
      <c r="F123" s="32">
        <f>SUM(F119:F122)</f>
        <v>15</v>
      </c>
      <c r="G123" s="32">
        <f>SUM(G119:G122)</f>
        <v>0</v>
      </c>
      <c r="H123" s="32">
        <f>SUM(H119:H122)</f>
        <v>0</v>
      </c>
      <c r="I123" s="32">
        <f t="shared" si="4"/>
        <v>0</v>
      </c>
      <c r="J123" s="32"/>
      <c r="K123" s="32">
        <f>H123/F123*100</f>
        <v>0</v>
      </c>
      <c r="L123" s="32">
        <f t="shared" si="5"/>
        <v>0</v>
      </c>
      <c r="M123" s="32"/>
    </row>
    <row r="124" spans="1:13" ht="15.75" hidden="1">
      <c r="A124" s="137" t="s">
        <v>106</v>
      </c>
      <c r="B124" s="114" t="s">
        <v>107</v>
      </c>
      <c r="C124" s="18" t="s">
        <v>21</v>
      </c>
      <c r="D124" s="19" t="s">
        <v>22</v>
      </c>
      <c r="E124" s="39"/>
      <c r="F124" s="39"/>
      <c r="G124" s="39"/>
      <c r="H124" s="39"/>
      <c r="I124" s="13">
        <f t="shared" si="4"/>
        <v>0</v>
      </c>
      <c r="J124" s="13"/>
      <c r="K124" s="13"/>
      <c r="L124" s="13">
        <f t="shared" si="5"/>
        <v>0</v>
      </c>
      <c r="M124" s="13"/>
    </row>
    <row r="125" spans="1:13" ht="31.5" customHeight="1" hidden="1">
      <c r="A125" s="137"/>
      <c r="B125" s="114"/>
      <c r="C125" s="18" t="s">
        <v>27</v>
      </c>
      <c r="D125" s="22" t="s">
        <v>28</v>
      </c>
      <c r="E125" s="39">
        <v>76.4</v>
      </c>
      <c r="F125" s="39"/>
      <c r="G125" s="39"/>
      <c r="H125" s="39">
        <v>1.69</v>
      </c>
      <c r="I125" s="13">
        <f t="shared" si="4"/>
        <v>1.69</v>
      </c>
      <c r="J125" s="13"/>
      <c r="K125" s="13"/>
      <c r="L125" s="13">
        <f t="shared" si="5"/>
        <v>-74.71000000000001</v>
      </c>
      <c r="M125" s="13"/>
    </row>
    <row r="126" spans="1:13" ht="15.75" customHeight="1" hidden="1">
      <c r="A126" s="137"/>
      <c r="B126" s="114"/>
      <c r="C126" s="18" t="s">
        <v>35</v>
      </c>
      <c r="D126" s="20" t="s">
        <v>36</v>
      </c>
      <c r="E126" s="39">
        <f>E128+E127</f>
        <v>0</v>
      </c>
      <c r="F126" s="39">
        <f>F128+F127</f>
        <v>0</v>
      </c>
      <c r="G126" s="39">
        <f>G128+G127</f>
        <v>0</v>
      </c>
      <c r="H126" s="39">
        <f>H128+H127</f>
        <v>2</v>
      </c>
      <c r="I126" s="13">
        <f t="shared" si="4"/>
        <v>2</v>
      </c>
      <c r="J126" s="13"/>
      <c r="K126" s="13"/>
      <c r="L126" s="13">
        <f t="shared" si="5"/>
        <v>2</v>
      </c>
      <c r="M126" s="13"/>
    </row>
    <row r="127" spans="1:13" ht="15.75" customHeight="1" hidden="1">
      <c r="A127" s="137"/>
      <c r="B127" s="114"/>
      <c r="C127" s="16" t="s">
        <v>37</v>
      </c>
      <c r="D127" s="24" t="s">
        <v>38</v>
      </c>
      <c r="E127" s="39"/>
      <c r="F127" s="39"/>
      <c r="G127" s="39"/>
      <c r="H127" s="39"/>
      <c r="I127" s="13">
        <f t="shared" si="4"/>
        <v>0</v>
      </c>
      <c r="J127" s="13"/>
      <c r="K127" s="13"/>
      <c r="L127" s="13">
        <f t="shared" si="5"/>
        <v>0</v>
      </c>
      <c r="M127" s="13"/>
    </row>
    <row r="128" spans="1:13" ht="15.75" customHeight="1" hidden="1">
      <c r="A128" s="137"/>
      <c r="B128" s="114"/>
      <c r="C128" s="16" t="s">
        <v>39</v>
      </c>
      <c r="D128" s="21" t="s">
        <v>40</v>
      </c>
      <c r="E128" s="39"/>
      <c r="F128" s="39"/>
      <c r="G128" s="39"/>
      <c r="H128" s="39">
        <v>2</v>
      </c>
      <c r="I128" s="13">
        <f t="shared" si="4"/>
        <v>2</v>
      </c>
      <c r="J128" s="13"/>
      <c r="K128" s="13"/>
      <c r="L128" s="13">
        <f t="shared" si="5"/>
        <v>2</v>
      </c>
      <c r="M128" s="13"/>
    </row>
    <row r="129" spans="1:13" ht="15.75" customHeight="1" hidden="1">
      <c r="A129" s="137"/>
      <c r="B129" s="114"/>
      <c r="C129" s="18" t="s">
        <v>41</v>
      </c>
      <c r="D129" s="20" t="s">
        <v>42</v>
      </c>
      <c r="E129" s="39"/>
      <c r="F129" s="39"/>
      <c r="G129" s="39"/>
      <c r="H129" s="39"/>
      <c r="I129" s="13">
        <f t="shared" si="4"/>
        <v>0</v>
      </c>
      <c r="J129" s="13"/>
      <c r="K129" s="13"/>
      <c r="L129" s="13">
        <f t="shared" si="5"/>
        <v>0</v>
      </c>
      <c r="M129" s="13"/>
    </row>
    <row r="130" spans="1:13" ht="15.75" customHeight="1" hidden="1">
      <c r="A130" s="137"/>
      <c r="B130" s="114"/>
      <c r="C130" s="18" t="s">
        <v>43</v>
      </c>
      <c r="D130" s="20" t="s">
        <v>44</v>
      </c>
      <c r="E130" s="39"/>
      <c r="F130" s="39"/>
      <c r="G130" s="39"/>
      <c r="H130" s="39"/>
      <c r="I130" s="13">
        <f t="shared" si="4"/>
        <v>0</v>
      </c>
      <c r="J130" s="13"/>
      <c r="K130" s="13"/>
      <c r="L130" s="13">
        <f t="shared" si="5"/>
        <v>0</v>
      </c>
      <c r="M130" s="13"/>
    </row>
    <row r="131" spans="1:13" ht="15.75" hidden="1">
      <c r="A131" s="137"/>
      <c r="B131" s="114"/>
      <c r="C131" s="18" t="s">
        <v>45</v>
      </c>
      <c r="D131" s="20" t="s">
        <v>46</v>
      </c>
      <c r="F131" s="39"/>
      <c r="G131" s="39"/>
      <c r="H131" s="39"/>
      <c r="I131" s="13">
        <f t="shared" si="4"/>
        <v>0</v>
      </c>
      <c r="J131" s="13"/>
      <c r="K131" s="13"/>
      <c r="L131" s="13">
        <f t="shared" si="5"/>
        <v>0</v>
      </c>
      <c r="M131" s="13">
        <f>H131/E136*100</f>
        <v>0</v>
      </c>
    </row>
    <row r="132" spans="1:13" ht="15.75" customHeight="1" hidden="1">
      <c r="A132" s="137"/>
      <c r="B132" s="114"/>
      <c r="C132" s="18" t="s">
        <v>47</v>
      </c>
      <c r="D132" s="20" t="s">
        <v>48</v>
      </c>
      <c r="E132" s="39"/>
      <c r="F132" s="39">
        <v>97428</v>
      </c>
      <c r="G132" s="39"/>
      <c r="H132" s="39"/>
      <c r="I132" s="13">
        <f t="shared" si="4"/>
        <v>0</v>
      </c>
      <c r="J132" s="13"/>
      <c r="K132" s="13">
        <f>H132/F132*100</f>
        <v>0</v>
      </c>
      <c r="L132" s="13">
        <f t="shared" si="5"/>
        <v>0</v>
      </c>
      <c r="M132" s="13"/>
    </row>
    <row r="133" spans="1:13" ht="31.5" hidden="1">
      <c r="A133" s="137"/>
      <c r="B133" s="114"/>
      <c r="C133" s="18" t="s">
        <v>49</v>
      </c>
      <c r="D133" s="20" t="s">
        <v>101</v>
      </c>
      <c r="E133" s="39">
        <v>142863.4</v>
      </c>
      <c r="F133" s="39">
        <f>2071594+81359.1+32000</f>
        <v>2184953.1</v>
      </c>
      <c r="G133" s="39">
        <f>468860.25+13831.05</f>
        <v>482691.3</v>
      </c>
      <c r="H133" s="39">
        <f>292465+8666.6</f>
        <v>301131.6</v>
      </c>
      <c r="I133" s="13">
        <f t="shared" si="4"/>
        <v>-181559.7</v>
      </c>
      <c r="J133" s="13">
        <f>H133/G133*100</f>
        <v>62.38595972208324</v>
      </c>
      <c r="K133" s="13">
        <f>H133/F133*100</f>
        <v>13.7820624158935</v>
      </c>
      <c r="L133" s="13">
        <f t="shared" si="5"/>
        <v>158268.19999999998</v>
      </c>
      <c r="M133" s="13">
        <f>H133/E133*100</f>
        <v>210.78288770951832</v>
      </c>
    </row>
    <row r="134" spans="1:13" ht="15.75" hidden="1">
      <c r="A134" s="137"/>
      <c r="B134" s="114"/>
      <c r="C134" s="18" t="s">
        <v>69</v>
      </c>
      <c r="D134" s="21" t="s">
        <v>70</v>
      </c>
      <c r="E134" s="39"/>
      <c r="F134" s="39">
        <v>9878.6</v>
      </c>
      <c r="G134" s="39"/>
      <c r="H134" s="39"/>
      <c r="I134" s="13">
        <f t="shared" si="4"/>
        <v>0</v>
      </c>
      <c r="J134" s="13"/>
      <c r="K134" s="13">
        <f>H134/F134*100</f>
        <v>0</v>
      </c>
      <c r="L134" s="13">
        <f t="shared" si="5"/>
        <v>0</v>
      </c>
      <c r="M134" s="13"/>
    </row>
    <row r="135" spans="1:13" ht="15.75" customHeight="1" hidden="1">
      <c r="A135" s="137"/>
      <c r="B135" s="114"/>
      <c r="C135" s="18" t="s">
        <v>80</v>
      </c>
      <c r="D135" s="20" t="s">
        <v>108</v>
      </c>
      <c r="E135" s="39"/>
      <c r="F135" s="39"/>
      <c r="G135" s="39"/>
      <c r="H135" s="39"/>
      <c r="I135" s="13">
        <f t="shared" si="4"/>
        <v>0</v>
      </c>
      <c r="J135" s="13"/>
      <c r="K135" s="13"/>
      <c r="L135" s="13">
        <f t="shared" si="5"/>
        <v>0</v>
      </c>
      <c r="M135" s="13" t="e">
        <f>H135/E135*100</f>
        <v>#DIV/0!</v>
      </c>
    </row>
    <row r="136" spans="1:13" ht="15.75" customHeight="1" hidden="1">
      <c r="A136" s="137"/>
      <c r="B136" s="114"/>
      <c r="C136" s="18" t="s">
        <v>51</v>
      </c>
      <c r="D136" s="20" t="s">
        <v>46</v>
      </c>
      <c r="E136" s="39">
        <v>-75663.7</v>
      </c>
      <c r="F136" s="39"/>
      <c r="G136" s="39"/>
      <c r="H136" s="39">
        <v>-51841.9</v>
      </c>
      <c r="I136" s="13">
        <f t="shared" si="4"/>
        <v>-51841.9</v>
      </c>
      <c r="J136" s="13"/>
      <c r="K136" s="13"/>
      <c r="L136" s="13">
        <f t="shared" si="5"/>
        <v>23821.799999999996</v>
      </c>
      <c r="M136" s="13">
        <f>H136/E136*100</f>
        <v>68.516210547462</v>
      </c>
    </row>
    <row r="137" spans="1:13" s="28" customFormat="1" ht="47.25" hidden="1">
      <c r="A137" s="137"/>
      <c r="B137" s="114"/>
      <c r="C137" s="36"/>
      <c r="D137" s="26" t="s">
        <v>56</v>
      </c>
      <c r="E137" s="40">
        <f>E138-E136</f>
        <v>142939.8</v>
      </c>
      <c r="F137" s="40">
        <f>F138-F136</f>
        <v>2292259.7</v>
      </c>
      <c r="G137" s="40">
        <f>G138-G136</f>
        <v>482691.3</v>
      </c>
      <c r="H137" s="40">
        <f>H138-H136</f>
        <v>301135.29</v>
      </c>
      <c r="I137" s="13">
        <f aca="true" t="shared" si="11" ref="I137:I200">H137-G137</f>
        <v>-181556.01</v>
      </c>
      <c r="J137" s="13">
        <f>H137/G137*100</f>
        <v>62.386724185830566</v>
      </c>
      <c r="K137" s="27">
        <f>H137/F137*100</f>
        <v>13.137049436414205</v>
      </c>
      <c r="L137" s="13">
        <f aca="true" t="shared" si="12" ref="L137:L200">H137-E137</f>
        <v>158195.49</v>
      </c>
      <c r="M137" s="13">
        <f>H137/E137*100</f>
        <v>210.672807713457</v>
      </c>
    </row>
    <row r="138" spans="1:13" s="33" customFormat="1" ht="15.75" hidden="1">
      <c r="A138" s="137"/>
      <c r="B138" s="114"/>
      <c r="C138" s="45"/>
      <c r="D138" s="31" t="s">
        <v>77</v>
      </c>
      <c r="E138" s="32">
        <f>SUM(E124:E126,E129:E136)</f>
        <v>67276.09999999999</v>
      </c>
      <c r="F138" s="32">
        <f>SUM(F124:F126,F129:F136)</f>
        <v>2292259.7</v>
      </c>
      <c r="G138" s="32">
        <f>SUM(G124:G126,G129:G136)</f>
        <v>482691.3</v>
      </c>
      <c r="H138" s="32">
        <f>SUM(H124:H126,H129:H136)</f>
        <v>249293.38999999998</v>
      </c>
      <c r="I138" s="32">
        <f t="shared" si="11"/>
        <v>-233397.91</v>
      </c>
      <c r="J138" s="32">
        <f>H138/G138*100</f>
        <v>51.64654718243315</v>
      </c>
      <c r="K138" s="32">
        <f>H138/F138*100</f>
        <v>10.875442690895799</v>
      </c>
      <c r="L138" s="32">
        <f t="shared" si="12"/>
        <v>182017.28999999998</v>
      </c>
      <c r="M138" s="32">
        <f>H138/E138*100</f>
        <v>370.5526776968344</v>
      </c>
    </row>
    <row r="139" spans="1:13" s="28" customFormat="1" ht="31.5" customHeight="1" hidden="1">
      <c r="A139" s="128" t="s">
        <v>109</v>
      </c>
      <c r="B139" s="130" t="s">
        <v>110</v>
      </c>
      <c r="C139" s="18" t="s">
        <v>27</v>
      </c>
      <c r="D139" s="22" t="s">
        <v>28</v>
      </c>
      <c r="E139" s="13"/>
      <c r="F139" s="27"/>
      <c r="G139" s="27"/>
      <c r="H139" s="13"/>
      <c r="I139" s="13">
        <f t="shared" si="11"/>
        <v>0</v>
      </c>
      <c r="J139" s="13"/>
      <c r="K139" s="13"/>
      <c r="L139" s="13">
        <f t="shared" si="12"/>
        <v>0</v>
      </c>
      <c r="M139" s="13"/>
    </row>
    <row r="140" spans="1:13" ht="15.75" customHeight="1" hidden="1">
      <c r="A140" s="133"/>
      <c r="B140" s="139"/>
      <c r="C140" s="18" t="s">
        <v>35</v>
      </c>
      <c r="D140" s="20" t="s">
        <v>36</v>
      </c>
      <c r="E140" s="13">
        <f>E142+E141</f>
        <v>0</v>
      </c>
      <c r="F140" s="13">
        <f>F142+F141</f>
        <v>0</v>
      </c>
      <c r="G140" s="13">
        <f>G142+G141</f>
        <v>0</v>
      </c>
      <c r="H140" s="13">
        <f>H142+H141</f>
        <v>0</v>
      </c>
      <c r="I140" s="13">
        <f t="shared" si="11"/>
        <v>0</v>
      </c>
      <c r="J140" s="13"/>
      <c r="K140" s="13"/>
      <c r="L140" s="13">
        <f t="shared" si="12"/>
        <v>0</v>
      </c>
      <c r="M140" s="13"/>
    </row>
    <row r="141" spans="1:13" ht="15.75" customHeight="1" hidden="1">
      <c r="A141" s="133"/>
      <c r="B141" s="139"/>
      <c r="C141" s="16" t="s">
        <v>37</v>
      </c>
      <c r="D141" s="24" t="s">
        <v>38</v>
      </c>
      <c r="E141" s="13"/>
      <c r="F141" s="13"/>
      <c r="G141" s="13"/>
      <c r="H141" s="13"/>
      <c r="I141" s="13">
        <f t="shared" si="11"/>
        <v>0</v>
      </c>
      <c r="J141" s="13"/>
      <c r="K141" s="13"/>
      <c r="L141" s="13">
        <f t="shared" si="12"/>
        <v>0</v>
      </c>
      <c r="M141" s="13"/>
    </row>
    <row r="142" spans="1:13" ht="47.25" customHeight="1" hidden="1">
      <c r="A142" s="133"/>
      <c r="B142" s="139"/>
      <c r="C142" s="16" t="s">
        <v>39</v>
      </c>
      <c r="D142" s="21" t="s">
        <v>40</v>
      </c>
      <c r="E142" s="13"/>
      <c r="F142" s="13"/>
      <c r="G142" s="13"/>
      <c r="H142" s="13"/>
      <c r="I142" s="13">
        <f t="shared" si="11"/>
        <v>0</v>
      </c>
      <c r="J142" s="13"/>
      <c r="K142" s="13"/>
      <c r="L142" s="13">
        <f t="shared" si="12"/>
        <v>0</v>
      </c>
      <c r="M142" s="13"/>
    </row>
    <row r="143" spans="1:13" ht="15.75" customHeight="1" hidden="1">
      <c r="A143" s="133"/>
      <c r="B143" s="139"/>
      <c r="C143" s="18" t="s">
        <v>41</v>
      </c>
      <c r="D143" s="20" t="s">
        <v>42</v>
      </c>
      <c r="E143" s="13"/>
      <c r="F143" s="13"/>
      <c r="G143" s="13"/>
      <c r="H143" s="13"/>
      <c r="I143" s="13">
        <f t="shared" si="11"/>
        <v>0</v>
      </c>
      <c r="J143" s="13"/>
      <c r="K143" s="13"/>
      <c r="L143" s="13">
        <f t="shared" si="12"/>
        <v>0</v>
      </c>
      <c r="M143" s="13"/>
    </row>
    <row r="144" spans="1:13" ht="15.75" customHeight="1" hidden="1">
      <c r="A144" s="133"/>
      <c r="B144" s="139"/>
      <c r="C144" s="18" t="s">
        <v>43</v>
      </c>
      <c r="D144" s="20" t="s">
        <v>44</v>
      </c>
      <c r="E144" s="13"/>
      <c r="F144" s="46">
        <v>836.6</v>
      </c>
      <c r="G144" s="46"/>
      <c r="H144" s="13"/>
      <c r="I144" s="13">
        <f t="shared" si="11"/>
        <v>0</v>
      </c>
      <c r="J144" s="13"/>
      <c r="K144" s="13">
        <f>H144/F144*100</f>
        <v>0</v>
      </c>
      <c r="L144" s="13">
        <f t="shared" si="12"/>
        <v>0</v>
      </c>
      <c r="M144" s="13"/>
    </row>
    <row r="145" spans="1:13" ht="15.75" hidden="1">
      <c r="A145" s="133"/>
      <c r="B145" s="139"/>
      <c r="C145" s="18" t="s">
        <v>45</v>
      </c>
      <c r="D145" s="20" t="s">
        <v>46</v>
      </c>
      <c r="F145" s="46"/>
      <c r="G145" s="46"/>
      <c r="H145" s="13"/>
      <c r="I145" s="13">
        <f t="shared" si="11"/>
        <v>0</v>
      </c>
      <c r="J145" s="13"/>
      <c r="K145" s="13"/>
      <c r="L145" s="13">
        <f t="shared" si="12"/>
        <v>0</v>
      </c>
      <c r="M145" s="13">
        <f>H145/E149*100</f>
        <v>0</v>
      </c>
    </row>
    <row r="146" spans="1:13" ht="15.75" customHeight="1" hidden="1">
      <c r="A146" s="133"/>
      <c r="B146" s="139"/>
      <c r="C146" s="18" t="s">
        <v>47</v>
      </c>
      <c r="D146" s="20" t="s">
        <v>48</v>
      </c>
      <c r="F146" s="13"/>
      <c r="G146" s="13"/>
      <c r="H146" s="13"/>
      <c r="I146" s="13">
        <f t="shared" si="11"/>
        <v>0</v>
      </c>
      <c r="J146" s="13"/>
      <c r="K146" s="13"/>
      <c r="L146" s="13">
        <f t="shared" si="12"/>
        <v>0</v>
      </c>
      <c r="M146" s="13"/>
    </row>
    <row r="147" spans="1:13" ht="15.75" customHeight="1" hidden="1">
      <c r="A147" s="133"/>
      <c r="B147" s="139"/>
      <c r="C147" s="18" t="s">
        <v>49</v>
      </c>
      <c r="D147" s="20" t="s">
        <v>101</v>
      </c>
      <c r="E147" s="13">
        <v>181.5</v>
      </c>
      <c r="F147" s="13">
        <f>2500+590.9+50</f>
        <v>3140.9</v>
      </c>
      <c r="G147" s="13">
        <f>484.6+147.72</f>
        <v>632.32</v>
      </c>
      <c r="H147" s="13">
        <f>484.6+147.72</f>
        <v>632.32</v>
      </c>
      <c r="I147" s="13">
        <f t="shared" si="11"/>
        <v>0</v>
      </c>
      <c r="J147" s="13">
        <f>H147/G147*100</f>
        <v>100</v>
      </c>
      <c r="K147" s="13">
        <f>H147/F147*100</f>
        <v>20.131809354006812</v>
      </c>
      <c r="L147" s="13">
        <f t="shared" si="12"/>
        <v>450.82000000000005</v>
      </c>
      <c r="M147" s="13">
        <f>H147/E147*100</f>
        <v>348.38567493112953</v>
      </c>
    </row>
    <row r="148" spans="1:13" ht="15.75" hidden="1">
      <c r="A148" s="133"/>
      <c r="B148" s="139"/>
      <c r="C148" s="18" t="s">
        <v>69</v>
      </c>
      <c r="D148" s="21" t="s">
        <v>70</v>
      </c>
      <c r="E148" s="13"/>
      <c r="F148" s="13"/>
      <c r="G148" s="13"/>
      <c r="H148" s="13"/>
      <c r="I148" s="13">
        <f t="shared" si="11"/>
        <v>0</v>
      </c>
      <c r="J148" s="13"/>
      <c r="K148" s="13"/>
      <c r="L148" s="13">
        <f t="shared" si="12"/>
        <v>0</v>
      </c>
      <c r="M148" s="13"/>
    </row>
    <row r="149" spans="1:13" ht="15.75" hidden="1">
      <c r="A149" s="133"/>
      <c r="B149" s="139"/>
      <c r="C149" s="18" t="s">
        <v>51</v>
      </c>
      <c r="D149" s="20" t="s">
        <v>46</v>
      </c>
      <c r="E149" s="13">
        <v>-659.7</v>
      </c>
      <c r="F149" s="13"/>
      <c r="G149" s="13"/>
      <c r="H149" s="13">
        <v>-25.59</v>
      </c>
      <c r="I149" s="13">
        <f t="shared" si="11"/>
        <v>-25.59</v>
      </c>
      <c r="J149" s="13"/>
      <c r="K149" s="13"/>
      <c r="L149" s="13">
        <f t="shared" si="12"/>
        <v>634.11</v>
      </c>
      <c r="M149" s="13">
        <f>H149/E149*100</f>
        <v>3.879035925420646</v>
      </c>
    </row>
    <row r="150" spans="1:13" s="28" customFormat="1" ht="47.25" hidden="1">
      <c r="A150" s="133"/>
      <c r="B150" s="139"/>
      <c r="C150" s="36"/>
      <c r="D150" s="26" t="s">
        <v>56</v>
      </c>
      <c r="E150" s="27">
        <f>E151-E149</f>
        <v>181.5</v>
      </c>
      <c r="F150" s="27">
        <f>F151-F149</f>
        <v>3977.5</v>
      </c>
      <c r="G150" s="27">
        <f>G151-G149</f>
        <v>632.32</v>
      </c>
      <c r="H150" s="27">
        <f>H151-H149</f>
        <v>632.32</v>
      </c>
      <c r="I150" s="13">
        <f t="shared" si="11"/>
        <v>0</v>
      </c>
      <c r="J150" s="13">
        <f>H150/G150*100</f>
        <v>100</v>
      </c>
      <c r="K150" s="27">
        <f>H150/F150*100</f>
        <v>15.89742300439975</v>
      </c>
      <c r="L150" s="13">
        <f t="shared" si="12"/>
        <v>450.82000000000005</v>
      </c>
      <c r="M150" s="13">
        <f>H150/E150*100</f>
        <v>348.38567493112953</v>
      </c>
    </row>
    <row r="151" spans="1:13" s="33" customFormat="1" ht="15.75" hidden="1">
      <c r="A151" s="129"/>
      <c r="B151" s="140"/>
      <c r="C151" s="47"/>
      <c r="D151" s="31" t="s">
        <v>77</v>
      </c>
      <c r="E151" s="43">
        <f>SUM(E139:E140,E143:E149)</f>
        <v>-478.20000000000005</v>
      </c>
      <c r="F151" s="43">
        <f>SUM(F139:F140,F143:F149)</f>
        <v>3977.5</v>
      </c>
      <c r="G151" s="43">
        <f>SUM(G139:G140,G143:G149)</f>
        <v>632.32</v>
      </c>
      <c r="H151" s="43">
        <f>SUM(H139:H140,H143:H149)</f>
        <v>606.73</v>
      </c>
      <c r="I151" s="32">
        <f t="shared" si="11"/>
        <v>-25.590000000000032</v>
      </c>
      <c r="J151" s="32">
        <f>H151/G151*100</f>
        <v>95.95299848178136</v>
      </c>
      <c r="K151" s="32">
        <f>H151/F151*100</f>
        <v>15.254054054054054</v>
      </c>
      <c r="L151" s="32">
        <f t="shared" si="12"/>
        <v>1084.93</v>
      </c>
      <c r="M151" s="32">
        <f>H151/E151*100</f>
        <v>-126.87787536595565</v>
      </c>
    </row>
    <row r="152" spans="1:13" ht="45" customHeight="1" hidden="1">
      <c r="A152" s="137" t="s">
        <v>111</v>
      </c>
      <c r="B152" s="114" t="s">
        <v>112</v>
      </c>
      <c r="C152" s="18" t="s">
        <v>27</v>
      </c>
      <c r="D152" s="22" t="s">
        <v>28</v>
      </c>
      <c r="E152" s="13"/>
      <c r="F152" s="13"/>
      <c r="G152" s="13"/>
      <c r="H152" s="13">
        <v>510</v>
      </c>
      <c r="I152" s="13">
        <f t="shared" si="11"/>
        <v>510</v>
      </c>
      <c r="J152" s="13"/>
      <c r="K152" s="13"/>
      <c r="L152" s="13">
        <f t="shared" si="12"/>
        <v>510</v>
      </c>
      <c r="M152" s="13"/>
    </row>
    <row r="153" spans="1:13" ht="15.75" customHeight="1" hidden="1">
      <c r="A153" s="137"/>
      <c r="B153" s="114"/>
      <c r="C153" s="18" t="s">
        <v>113</v>
      </c>
      <c r="D153" s="20" t="s">
        <v>114</v>
      </c>
      <c r="E153" s="13"/>
      <c r="F153" s="13"/>
      <c r="G153" s="13"/>
      <c r="H153" s="13"/>
      <c r="I153" s="13">
        <f t="shared" si="11"/>
        <v>0</v>
      </c>
      <c r="J153" s="13"/>
      <c r="K153" s="13"/>
      <c r="L153" s="13">
        <f t="shared" si="12"/>
        <v>0</v>
      </c>
      <c r="M153" s="13"/>
    </row>
    <row r="154" spans="1:13" ht="15.75" hidden="1">
      <c r="A154" s="138"/>
      <c r="B154" s="141"/>
      <c r="C154" s="18" t="s">
        <v>35</v>
      </c>
      <c r="D154" s="20" t="s">
        <v>36</v>
      </c>
      <c r="E154" s="13">
        <f>E155</f>
        <v>0</v>
      </c>
      <c r="F154" s="13">
        <f>F155</f>
        <v>0</v>
      </c>
      <c r="G154" s="13">
        <f>G155</f>
        <v>0</v>
      </c>
      <c r="H154" s="13">
        <f>H155</f>
        <v>0</v>
      </c>
      <c r="I154" s="13">
        <f t="shared" si="11"/>
        <v>0</v>
      </c>
      <c r="J154" s="13"/>
      <c r="K154" s="13"/>
      <c r="L154" s="13">
        <f t="shared" si="12"/>
        <v>0</v>
      </c>
      <c r="M154" s="13"/>
    </row>
    <row r="155" spans="1:13" ht="47.25" customHeight="1" hidden="1">
      <c r="A155" s="138"/>
      <c r="B155" s="141"/>
      <c r="C155" s="16" t="s">
        <v>39</v>
      </c>
      <c r="D155" s="21" t="s">
        <v>40</v>
      </c>
      <c r="E155" s="13"/>
      <c r="F155" s="13"/>
      <c r="G155" s="13"/>
      <c r="H155" s="13"/>
      <c r="I155" s="13">
        <f t="shared" si="11"/>
        <v>0</v>
      </c>
      <c r="J155" s="13"/>
      <c r="K155" s="13"/>
      <c r="L155" s="13">
        <f t="shared" si="12"/>
        <v>0</v>
      </c>
      <c r="M155" s="13" t="e">
        <f>H155/E155*100</f>
        <v>#DIV/0!</v>
      </c>
    </row>
    <row r="156" spans="1:13" ht="15.75" customHeight="1" hidden="1">
      <c r="A156" s="138"/>
      <c r="B156" s="141"/>
      <c r="C156" s="18" t="s">
        <v>41</v>
      </c>
      <c r="D156" s="20" t="s">
        <v>42</v>
      </c>
      <c r="E156" s="13"/>
      <c r="F156" s="13"/>
      <c r="G156" s="13"/>
      <c r="H156" s="13">
        <v>163.25</v>
      </c>
      <c r="I156" s="13">
        <f t="shared" si="11"/>
        <v>163.25</v>
      </c>
      <c r="J156" s="13"/>
      <c r="K156" s="13"/>
      <c r="L156" s="13">
        <f t="shared" si="12"/>
        <v>163.25</v>
      </c>
      <c r="M156" s="13"/>
    </row>
    <row r="157" spans="1:13" ht="31.5" hidden="1">
      <c r="A157" s="138"/>
      <c r="B157" s="141"/>
      <c r="C157" s="18" t="s">
        <v>43</v>
      </c>
      <c r="D157" s="20" t="s">
        <v>44</v>
      </c>
      <c r="E157" s="13"/>
      <c r="F157" s="13">
        <v>684.9</v>
      </c>
      <c r="G157" s="13"/>
      <c r="H157" s="13"/>
      <c r="I157" s="13">
        <f t="shared" si="11"/>
        <v>0</v>
      </c>
      <c r="J157" s="13"/>
      <c r="K157" s="13">
        <f>H157/F157*100</f>
        <v>0</v>
      </c>
      <c r="L157" s="13">
        <f t="shared" si="12"/>
        <v>0</v>
      </c>
      <c r="M157" s="13"/>
    </row>
    <row r="158" spans="1:13" ht="15.75" hidden="1">
      <c r="A158" s="138"/>
      <c r="B158" s="141"/>
      <c r="C158" s="18" t="s">
        <v>45</v>
      </c>
      <c r="D158" s="20" t="s">
        <v>46</v>
      </c>
      <c r="F158" s="13"/>
      <c r="G158" s="13"/>
      <c r="H158" s="13"/>
      <c r="I158" s="13">
        <f t="shared" si="11"/>
        <v>0</v>
      </c>
      <c r="J158" s="13"/>
      <c r="K158" s="13"/>
      <c r="L158" s="13">
        <f t="shared" si="12"/>
        <v>0</v>
      </c>
      <c r="M158" s="13">
        <f>H158/E162*100</f>
        <v>0</v>
      </c>
    </row>
    <row r="159" spans="1:13" ht="15.75" customHeight="1" hidden="1">
      <c r="A159" s="138"/>
      <c r="B159" s="141"/>
      <c r="C159" s="18" t="s">
        <v>47</v>
      </c>
      <c r="D159" s="20" t="s">
        <v>48</v>
      </c>
      <c r="E159" s="13"/>
      <c r="F159" s="13"/>
      <c r="G159" s="13"/>
      <c r="H159" s="13"/>
      <c r="I159" s="13">
        <f t="shared" si="11"/>
        <v>0</v>
      </c>
      <c r="J159" s="13"/>
      <c r="K159" s="13"/>
      <c r="L159" s="13">
        <f t="shared" si="12"/>
        <v>0</v>
      </c>
      <c r="M159" s="13"/>
    </row>
    <row r="160" spans="1:13" ht="31.5" hidden="1">
      <c r="A160" s="138"/>
      <c r="B160" s="141"/>
      <c r="C160" s="18" t="s">
        <v>49</v>
      </c>
      <c r="D160" s="20" t="s">
        <v>101</v>
      </c>
      <c r="E160" s="13">
        <v>330.2</v>
      </c>
      <c r="F160" s="13">
        <f>3800+1252+30</f>
        <v>5082</v>
      </c>
      <c r="G160" s="13">
        <f>714.9+313</f>
        <v>1027.9</v>
      </c>
      <c r="H160" s="13">
        <f>714.9+313</f>
        <v>1027.9</v>
      </c>
      <c r="I160" s="13">
        <f t="shared" si="11"/>
        <v>0</v>
      </c>
      <c r="J160" s="13">
        <f>H160/G160*100</f>
        <v>100</v>
      </c>
      <c r="K160" s="13">
        <f>H160/F160*100</f>
        <v>20.2262888626525</v>
      </c>
      <c r="L160" s="13">
        <f t="shared" si="12"/>
        <v>697.7</v>
      </c>
      <c r="M160" s="13">
        <f>H160/E160*100</f>
        <v>311.29618413082983</v>
      </c>
    </row>
    <row r="161" spans="1:13" ht="15.75" hidden="1">
      <c r="A161" s="138"/>
      <c r="B161" s="141"/>
      <c r="C161" s="18" t="s">
        <v>69</v>
      </c>
      <c r="D161" s="21" t="s">
        <v>70</v>
      </c>
      <c r="E161" s="13"/>
      <c r="F161" s="13"/>
      <c r="G161" s="13"/>
      <c r="H161" s="13"/>
      <c r="I161" s="13">
        <f t="shared" si="11"/>
        <v>0</v>
      </c>
      <c r="J161" s="13"/>
      <c r="K161" s="13"/>
      <c r="L161" s="13">
        <f t="shared" si="12"/>
        <v>0</v>
      </c>
      <c r="M161" s="13"/>
    </row>
    <row r="162" spans="1:13" ht="15.75" hidden="1">
      <c r="A162" s="138"/>
      <c r="B162" s="141"/>
      <c r="C162" s="18" t="s">
        <v>51</v>
      </c>
      <c r="D162" s="20" t="s">
        <v>46</v>
      </c>
      <c r="E162" s="13">
        <v>-679.5</v>
      </c>
      <c r="F162" s="13"/>
      <c r="G162" s="13"/>
      <c r="H162" s="13">
        <v>-244.16</v>
      </c>
      <c r="I162" s="13">
        <f t="shared" si="11"/>
        <v>-244.16</v>
      </c>
      <c r="J162" s="13"/>
      <c r="K162" s="13"/>
      <c r="L162" s="13">
        <f t="shared" si="12"/>
        <v>435.34000000000003</v>
      </c>
      <c r="M162" s="13">
        <f>H162/E162*100</f>
        <v>35.932303164091245</v>
      </c>
    </row>
    <row r="163" spans="1:13" s="28" customFormat="1" ht="31.5" customHeight="1" hidden="1">
      <c r="A163" s="138"/>
      <c r="B163" s="141"/>
      <c r="C163" s="36"/>
      <c r="D163" s="26" t="s">
        <v>56</v>
      </c>
      <c r="E163" s="27">
        <f>E164-E162</f>
        <v>330.2</v>
      </c>
      <c r="F163" s="27">
        <f>F164-F162</f>
        <v>5766.9</v>
      </c>
      <c r="G163" s="27">
        <f>G164-G162</f>
        <v>1027.9</v>
      </c>
      <c r="H163" s="27">
        <f>H164-H162</f>
        <v>1701.15</v>
      </c>
      <c r="I163" s="13">
        <f t="shared" si="11"/>
        <v>673.25</v>
      </c>
      <c r="J163" s="13">
        <f>H163/G163*100</f>
        <v>165.49761649965947</v>
      </c>
      <c r="K163" s="27">
        <f>H163/F163*100</f>
        <v>29.49851740103002</v>
      </c>
      <c r="L163" s="13">
        <f t="shared" si="12"/>
        <v>1370.95</v>
      </c>
      <c r="M163" s="13">
        <f>H163/E163*100</f>
        <v>515.1877649909147</v>
      </c>
    </row>
    <row r="164" spans="1:13" s="33" customFormat="1" ht="15.75" hidden="1">
      <c r="A164" s="138"/>
      <c r="B164" s="141"/>
      <c r="C164" s="47"/>
      <c r="D164" s="31" t="s">
        <v>77</v>
      </c>
      <c r="E164" s="43">
        <f>SUM(E152:E154,E156:E162)</f>
        <v>-349.3</v>
      </c>
      <c r="F164" s="43">
        <f>SUM(F152:F154,F156:F162)</f>
        <v>5766.9</v>
      </c>
      <c r="G164" s="43">
        <f>SUM(G152:G154,G156:G162)</f>
        <v>1027.9</v>
      </c>
      <c r="H164" s="43">
        <f>SUM(H152:H154,H156:H162)</f>
        <v>1456.99</v>
      </c>
      <c r="I164" s="32">
        <f t="shared" si="11"/>
        <v>429.0899999999999</v>
      </c>
      <c r="J164" s="32">
        <f>H164/G164*100</f>
        <v>141.7443331063333</v>
      </c>
      <c r="K164" s="32">
        <f>H164/F164*100</f>
        <v>25.264700272243324</v>
      </c>
      <c r="L164" s="32">
        <f t="shared" si="12"/>
        <v>1806.29</v>
      </c>
      <c r="M164" s="32">
        <f>H164/E164*100</f>
        <v>-417.1170913255081</v>
      </c>
    </row>
    <row r="165" spans="1:13" ht="31.5" customHeight="1" hidden="1">
      <c r="A165" s="137" t="s">
        <v>115</v>
      </c>
      <c r="B165" s="114" t="s">
        <v>116</v>
      </c>
      <c r="C165" s="18" t="s">
        <v>27</v>
      </c>
      <c r="D165" s="22" t="s">
        <v>28</v>
      </c>
      <c r="E165" s="13"/>
      <c r="F165" s="13"/>
      <c r="G165" s="13"/>
      <c r="H165" s="13"/>
      <c r="I165" s="13">
        <f t="shared" si="11"/>
        <v>0</v>
      </c>
      <c r="J165" s="13"/>
      <c r="K165" s="13"/>
      <c r="L165" s="13">
        <f t="shared" si="12"/>
        <v>0</v>
      </c>
      <c r="M165" s="13"/>
    </row>
    <row r="166" spans="1:13" ht="15.75" customHeight="1" hidden="1">
      <c r="A166" s="137"/>
      <c r="B166" s="114"/>
      <c r="C166" s="18" t="s">
        <v>113</v>
      </c>
      <c r="D166" s="20" t="s">
        <v>114</v>
      </c>
      <c r="E166" s="13"/>
      <c r="F166" s="13"/>
      <c r="G166" s="13"/>
      <c r="H166" s="13"/>
      <c r="I166" s="13">
        <f t="shared" si="11"/>
        <v>0</v>
      </c>
      <c r="J166" s="13"/>
      <c r="K166" s="13"/>
      <c r="L166" s="13">
        <f t="shared" si="12"/>
        <v>0</v>
      </c>
      <c r="M166" s="13"/>
    </row>
    <row r="167" spans="1:13" ht="15.75" hidden="1">
      <c r="A167" s="138"/>
      <c r="B167" s="141"/>
      <c r="C167" s="18" t="s">
        <v>35</v>
      </c>
      <c r="D167" s="20" t="s">
        <v>36</v>
      </c>
      <c r="E167" s="13">
        <f>E168</f>
        <v>0</v>
      </c>
      <c r="F167" s="13">
        <f>F168</f>
        <v>0</v>
      </c>
      <c r="G167" s="13">
        <f>G168</f>
        <v>0</v>
      </c>
      <c r="H167" s="13">
        <f>H168</f>
        <v>0</v>
      </c>
      <c r="I167" s="13">
        <f t="shared" si="11"/>
        <v>0</v>
      </c>
      <c r="J167" s="13"/>
      <c r="K167" s="13"/>
      <c r="L167" s="13">
        <f t="shared" si="12"/>
        <v>0</v>
      </c>
      <c r="M167" s="13"/>
    </row>
    <row r="168" spans="1:13" ht="47.25" customHeight="1" hidden="1">
      <c r="A168" s="138"/>
      <c r="B168" s="141"/>
      <c r="C168" s="16" t="s">
        <v>39</v>
      </c>
      <c r="D168" s="21" t="s">
        <v>40</v>
      </c>
      <c r="E168" s="13"/>
      <c r="F168" s="13"/>
      <c r="G168" s="13"/>
      <c r="H168" s="13"/>
      <c r="I168" s="13">
        <f t="shared" si="11"/>
        <v>0</v>
      </c>
      <c r="J168" s="13"/>
      <c r="K168" s="13"/>
      <c r="L168" s="13">
        <f t="shared" si="12"/>
        <v>0</v>
      </c>
      <c r="M168" s="13"/>
    </row>
    <row r="169" spans="1:13" ht="15.75" hidden="1">
      <c r="A169" s="138"/>
      <c r="B169" s="141"/>
      <c r="C169" s="18" t="s">
        <v>41</v>
      </c>
      <c r="D169" s="20" t="s">
        <v>42</v>
      </c>
      <c r="E169" s="13"/>
      <c r="F169" s="13"/>
      <c r="G169" s="13"/>
      <c r="H169" s="13"/>
      <c r="I169" s="13">
        <f t="shared" si="11"/>
        <v>0</v>
      </c>
      <c r="J169" s="13"/>
      <c r="K169" s="13"/>
      <c r="L169" s="13">
        <f t="shared" si="12"/>
        <v>0</v>
      </c>
      <c r="M169" s="13"/>
    </row>
    <row r="170" spans="1:13" ht="31.5" hidden="1">
      <c r="A170" s="138"/>
      <c r="B170" s="141"/>
      <c r="C170" s="18" t="s">
        <v>43</v>
      </c>
      <c r="D170" s="20" t="s">
        <v>44</v>
      </c>
      <c r="E170" s="13">
        <v>3.1</v>
      </c>
      <c r="F170" s="13">
        <v>391.9</v>
      </c>
      <c r="G170" s="13"/>
      <c r="H170" s="13"/>
      <c r="I170" s="13">
        <f t="shared" si="11"/>
        <v>0</v>
      </c>
      <c r="J170" s="13"/>
      <c r="K170" s="13">
        <f>H170/F170*100</f>
        <v>0</v>
      </c>
      <c r="L170" s="13">
        <f t="shared" si="12"/>
        <v>-3.1</v>
      </c>
      <c r="M170" s="13">
        <f>H170/E170*100</f>
        <v>0</v>
      </c>
    </row>
    <row r="171" spans="1:13" ht="15.75" customHeight="1" hidden="1">
      <c r="A171" s="138"/>
      <c r="B171" s="141"/>
      <c r="C171" s="18" t="s">
        <v>45</v>
      </c>
      <c r="D171" s="20" t="s">
        <v>46</v>
      </c>
      <c r="F171" s="13"/>
      <c r="G171" s="13"/>
      <c r="H171" s="13"/>
      <c r="I171" s="13">
        <f t="shared" si="11"/>
        <v>0</v>
      </c>
      <c r="J171" s="13"/>
      <c r="K171" s="13"/>
      <c r="L171" s="13">
        <f t="shared" si="12"/>
        <v>0</v>
      </c>
      <c r="M171" s="13">
        <f>H171/E175*100</f>
        <v>0</v>
      </c>
    </row>
    <row r="172" spans="1:13" ht="15.75" customHeight="1" hidden="1">
      <c r="A172" s="138"/>
      <c r="B172" s="141"/>
      <c r="C172" s="18" t="s">
        <v>47</v>
      </c>
      <c r="D172" s="20" t="s">
        <v>48</v>
      </c>
      <c r="E172" s="13"/>
      <c r="F172" s="13"/>
      <c r="G172" s="13"/>
      <c r="H172" s="13"/>
      <c r="I172" s="13">
        <f t="shared" si="11"/>
        <v>0</v>
      </c>
      <c r="J172" s="13"/>
      <c r="K172" s="13"/>
      <c r="L172" s="13">
        <f t="shared" si="12"/>
        <v>0</v>
      </c>
      <c r="M172" s="13"/>
    </row>
    <row r="173" spans="1:13" ht="31.5" hidden="1">
      <c r="A173" s="138"/>
      <c r="B173" s="141"/>
      <c r="C173" s="18" t="s">
        <v>49</v>
      </c>
      <c r="D173" s="20" t="s">
        <v>101</v>
      </c>
      <c r="E173" s="13">
        <v>330.1</v>
      </c>
      <c r="F173" s="13">
        <f>3850+1252+50</f>
        <v>5152</v>
      </c>
      <c r="G173" s="13">
        <f>992</f>
        <v>992</v>
      </c>
      <c r="H173" s="13">
        <f>992+313</f>
        <v>1305</v>
      </c>
      <c r="I173" s="13">
        <f t="shared" si="11"/>
        <v>313</v>
      </c>
      <c r="J173" s="13">
        <f>H173/G173*100</f>
        <v>131.5524193548387</v>
      </c>
      <c r="K173" s="13">
        <f>H173/F173*100</f>
        <v>25.329968944099377</v>
      </c>
      <c r="L173" s="13">
        <f t="shared" si="12"/>
        <v>974.9</v>
      </c>
      <c r="M173" s="13">
        <f>H173/E173*100</f>
        <v>395.33474704634955</v>
      </c>
    </row>
    <row r="174" spans="1:13" ht="15.75" customHeight="1" hidden="1">
      <c r="A174" s="138"/>
      <c r="B174" s="141"/>
      <c r="C174" s="18" t="s">
        <v>69</v>
      </c>
      <c r="D174" s="21" t="s">
        <v>70</v>
      </c>
      <c r="E174" s="13"/>
      <c r="F174" s="13"/>
      <c r="G174" s="13"/>
      <c r="H174" s="13"/>
      <c r="I174" s="13">
        <f t="shared" si="11"/>
        <v>0</v>
      </c>
      <c r="J174" s="13"/>
      <c r="K174" s="13"/>
      <c r="L174" s="13">
        <f t="shared" si="12"/>
        <v>0</v>
      </c>
      <c r="M174" s="13"/>
    </row>
    <row r="175" spans="1:13" ht="15.75" customHeight="1" hidden="1">
      <c r="A175" s="138"/>
      <c r="B175" s="141"/>
      <c r="C175" s="18" t="s">
        <v>51</v>
      </c>
      <c r="D175" s="20" t="s">
        <v>46</v>
      </c>
      <c r="E175" s="13">
        <v>-1007.6</v>
      </c>
      <c r="F175" s="13"/>
      <c r="G175" s="13"/>
      <c r="H175" s="13">
        <v>-2047.16</v>
      </c>
      <c r="I175" s="13">
        <f t="shared" si="11"/>
        <v>-2047.16</v>
      </c>
      <c r="J175" s="13"/>
      <c r="K175" s="13"/>
      <c r="L175" s="13">
        <f t="shared" si="12"/>
        <v>-1039.56</v>
      </c>
      <c r="M175" s="13">
        <f>H175/E175*100</f>
        <v>203.1718936085748</v>
      </c>
    </row>
    <row r="176" spans="1:13" s="28" customFormat="1" ht="47.25" hidden="1">
      <c r="A176" s="138"/>
      <c r="B176" s="141"/>
      <c r="C176" s="36"/>
      <c r="D176" s="26" t="s">
        <v>56</v>
      </c>
      <c r="E176" s="27">
        <f>E177-E175</f>
        <v>333.20000000000005</v>
      </c>
      <c r="F176" s="27">
        <f>F177-F175</f>
        <v>5543.9</v>
      </c>
      <c r="G176" s="27">
        <f>G177-G175</f>
        <v>992</v>
      </c>
      <c r="H176" s="27">
        <f>H177-H175</f>
        <v>1305</v>
      </c>
      <c r="I176" s="13">
        <f t="shared" si="11"/>
        <v>313</v>
      </c>
      <c r="J176" s="13">
        <f>H176/G176*100</f>
        <v>131.5524193548387</v>
      </c>
      <c r="K176" s="27">
        <f>H176/F176*100</f>
        <v>23.539385631053953</v>
      </c>
      <c r="L176" s="13">
        <f t="shared" si="12"/>
        <v>971.8</v>
      </c>
      <c r="M176" s="13">
        <f>H176/E176*100</f>
        <v>391.656662665066</v>
      </c>
    </row>
    <row r="177" spans="1:13" s="33" customFormat="1" ht="15.75" hidden="1">
      <c r="A177" s="138"/>
      <c r="B177" s="141"/>
      <c r="C177" s="47"/>
      <c r="D177" s="31" t="s">
        <v>77</v>
      </c>
      <c r="E177" s="43">
        <f>SUM(E165:E167,E169:E175)</f>
        <v>-674.4</v>
      </c>
      <c r="F177" s="43">
        <f>SUM(F165:F167,F169:F175)</f>
        <v>5543.9</v>
      </c>
      <c r="G177" s="43">
        <f>SUM(G165:G167,G169:G175)</f>
        <v>992</v>
      </c>
      <c r="H177" s="43">
        <f>SUM(H165:H167,H169:H175)</f>
        <v>-742.1600000000001</v>
      </c>
      <c r="I177" s="32">
        <f t="shared" si="11"/>
        <v>-1734.16</v>
      </c>
      <c r="J177" s="32">
        <f>H177/G177*100</f>
        <v>-74.81451612903227</v>
      </c>
      <c r="K177" s="32">
        <f>H177/F177*100</f>
        <v>-13.386965854362455</v>
      </c>
      <c r="L177" s="32">
        <f t="shared" si="12"/>
        <v>-67.7600000000001</v>
      </c>
      <c r="M177" s="32">
        <f>H177/E177*100</f>
        <v>110.04744958481616</v>
      </c>
    </row>
    <row r="178" spans="1:13" ht="31.5" customHeight="1" hidden="1">
      <c r="A178" s="137" t="s">
        <v>117</v>
      </c>
      <c r="B178" s="114" t="s">
        <v>118</v>
      </c>
      <c r="C178" s="18" t="s">
        <v>27</v>
      </c>
      <c r="D178" s="22" t="s">
        <v>28</v>
      </c>
      <c r="E178" s="13"/>
      <c r="F178" s="13"/>
      <c r="G178" s="13"/>
      <c r="H178" s="13"/>
      <c r="I178" s="13">
        <f t="shared" si="11"/>
        <v>0</v>
      </c>
      <c r="J178" s="13"/>
      <c r="K178" s="13"/>
      <c r="L178" s="13">
        <f t="shared" si="12"/>
        <v>0</v>
      </c>
      <c r="M178" s="13"/>
    </row>
    <row r="179" spans="1:13" ht="15.75" customHeight="1" hidden="1">
      <c r="A179" s="137"/>
      <c r="B179" s="114"/>
      <c r="C179" s="18" t="s">
        <v>113</v>
      </c>
      <c r="D179" s="20" t="s">
        <v>114</v>
      </c>
      <c r="E179" s="13"/>
      <c r="F179" s="13"/>
      <c r="G179" s="13"/>
      <c r="H179" s="13"/>
      <c r="I179" s="13">
        <f t="shared" si="11"/>
        <v>0</v>
      </c>
      <c r="J179" s="13"/>
      <c r="K179" s="13"/>
      <c r="L179" s="13">
        <f t="shared" si="12"/>
        <v>0</v>
      </c>
      <c r="M179" s="13"/>
    </row>
    <row r="180" spans="1:13" ht="15.75" customHeight="1" hidden="1">
      <c r="A180" s="138"/>
      <c r="B180" s="141"/>
      <c r="C180" s="18" t="s">
        <v>35</v>
      </c>
      <c r="D180" s="20" t="s">
        <v>36</v>
      </c>
      <c r="E180" s="13">
        <f>SUM(E181:E182)</f>
        <v>31.1</v>
      </c>
      <c r="F180" s="13">
        <f>SUM(F181:F182)</f>
        <v>0</v>
      </c>
      <c r="G180" s="13">
        <f>SUM(G181:G182)</f>
        <v>0</v>
      </c>
      <c r="H180" s="13">
        <f>SUM(H181:H182)</f>
        <v>0</v>
      </c>
      <c r="I180" s="13">
        <f t="shared" si="11"/>
        <v>0</v>
      </c>
      <c r="J180" s="13"/>
      <c r="K180" s="13"/>
      <c r="L180" s="13">
        <f t="shared" si="12"/>
        <v>-31.1</v>
      </c>
      <c r="M180" s="13">
        <f>H180/E180*100</f>
        <v>0</v>
      </c>
    </row>
    <row r="181" spans="1:13" ht="63" customHeight="1" hidden="1">
      <c r="A181" s="138"/>
      <c r="B181" s="141"/>
      <c r="C181" s="16" t="s">
        <v>37</v>
      </c>
      <c r="D181" s="24" t="s">
        <v>38</v>
      </c>
      <c r="E181" s="13"/>
      <c r="F181" s="13"/>
      <c r="G181" s="13"/>
      <c r="H181" s="13"/>
      <c r="I181" s="13">
        <f t="shared" si="11"/>
        <v>0</v>
      </c>
      <c r="J181" s="13"/>
      <c r="K181" s="13"/>
      <c r="L181" s="13">
        <f t="shared" si="12"/>
        <v>0</v>
      </c>
      <c r="M181" s="13"/>
    </row>
    <row r="182" spans="1:13" ht="47.25" customHeight="1" hidden="1">
      <c r="A182" s="138"/>
      <c r="B182" s="141"/>
      <c r="C182" s="16" t="s">
        <v>39</v>
      </c>
      <c r="D182" s="21" t="s">
        <v>40</v>
      </c>
      <c r="E182" s="13">
        <v>31.1</v>
      </c>
      <c r="F182" s="13"/>
      <c r="G182" s="13"/>
      <c r="H182" s="13"/>
      <c r="I182" s="13">
        <f t="shared" si="11"/>
        <v>0</v>
      </c>
      <c r="J182" s="13"/>
      <c r="K182" s="13"/>
      <c r="L182" s="13">
        <f t="shared" si="12"/>
        <v>-31.1</v>
      </c>
      <c r="M182" s="13">
        <f>H182/E182*100</f>
        <v>0</v>
      </c>
    </row>
    <row r="183" spans="1:13" ht="15.75" customHeight="1" hidden="1">
      <c r="A183" s="138"/>
      <c r="B183" s="141"/>
      <c r="C183" s="18" t="s">
        <v>41</v>
      </c>
      <c r="D183" s="20" t="s">
        <v>42</v>
      </c>
      <c r="E183" s="13"/>
      <c r="F183" s="13"/>
      <c r="G183" s="13"/>
      <c r="H183" s="13"/>
      <c r="I183" s="13">
        <f t="shared" si="11"/>
        <v>0</v>
      </c>
      <c r="J183" s="13"/>
      <c r="K183" s="13"/>
      <c r="L183" s="13">
        <f t="shared" si="12"/>
        <v>0</v>
      </c>
      <c r="M183" s="13"/>
    </row>
    <row r="184" spans="1:13" ht="31.5" hidden="1">
      <c r="A184" s="138"/>
      <c r="B184" s="141"/>
      <c r="C184" s="18" t="s">
        <v>43</v>
      </c>
      <c r="D184" s="20" t="s">
        <v>44</v>
      </c>
      <c r="E184" s="13"/>
      <c r="F184" s="13">
        <v>186.9</v>
      </c>
      <c r="G184" s="13"/>
      <c r="H184" s="13"/>
      <c r="I184" s="13">
        <f t="shared" si="11"/>
        <v>0</v>
      </c>
      <c r="J184" s="13"/>
      <c r="K184" s="13">
        <f>H184/F184*100</f>
        <v>0</v>
      </c>
      <c r="L184" s="13">
        <f t="shared" si="12"/>
        <v>0</v>
      </c>
      <c r="M184" s="13"/>
    </row>
    <row r="185" spans="1:13" ht="15.75" hidden="1">
      <c r="A185" s="138"/>
      <c r="B185" s="141"/>
      <c r="C185" s="18" t="s">
        <v>45</v>
      </c>
      <c r="D185" s="20" t="s">
        <v>46</v>
      </c>
      <c r="G185" s="13"/>
      <c r="H185" s="13"/>
      <c r="I185" s="13">
        <f t="shared" si="11"/>
        <v>0</v>
      </c>
      <c r="J185" s="13"/>
      <c r="K185" s="13"/>
      <c r="L185" s="13">
        <f t="shared" si="12"/>
        <v>0</v>
      </c>
      <c r="M185" s="13">
        <f>H185/E189*100</f>
        <v>0</v>
      </c>
    </row>
    <row r="186" spans="1:13" ht="15.75" customHeight="1" hidden="1">
      <c r="A186" s="138"/>
      <c r="B186" s="141"/>
      <c r="C186" s="18" t="s">
        <v>47</v>
      </c>
      <c r="D186" s="20" t="s">
        <v>48</v>
      </c>
      <c r="E186" s="13"/>
      <c r="F186" s="13"/>
      <c r="G186" s="13"/>
      <c r="H186" s="13"/>
      <c r="I186" s="13">
        <f t="shared" si="11"/>
        <v>0</v>
      </c>
      <c r="J186" s="13"/>
      <c r="K186" s="13"/>
      <c r="L186" s="13">
        <f t="shared" si="12"/>
        <v>0</v>
      </c>
      <c r="M186" s="13"/>
    </row>
    <row r="187" spans="1:13" ht="31.5" hidden="1">
      <c r="A187" s="138"/>
      <c r="B187" s="141"/>
      <c r="C187" s="18" t="s">
        <v>49</v>
      </c>
      <c r="D187" s="20" t="s">
        <v>101</v>
      </c>
      <c r="E187" s="13">
        <v>330.2</v>
      </c>
      <c r="F187" s="13">
        <f>3000+1252+60</f>
        <v>4312</v>
      </c>
      <c r="G187" s="13">
        <f>380.4+313</f>
        <v>693.4</v>
      </c>
      <c r="H187" s="13">
        <f>380.4+313</f>
        <v>693.4</v>
      </c>
      <c r="I187" s="13">
        <f t="shared" si="11"/>
        <v>0</v>
      </c>
      <c r="J187" s="13">
        <f>H187/G187*100</f>
        <v>100</v>
      </c>
      <c r="K187" s="13">
        <f>H187/F187*100</f>
        <v>16.08070500927644</v>
      </c>
      <c r="L187" s="13">
        <f t="shared" si="12"/>
        <v>363.2</v>
      </c>
      <c r="M187" s="13">
        <f>H187/E187*100</f>
        <v>209.99394306480917</v>
      </c>
    </row>
    <row r="188" spans="1:13" ht="15.75" hidden="1">
      <c r="A188" s="138"/>
      <c r="B188" s="141"/>
      <c r="C188" s="18" t="s">
        <v>69</v>
      </c>
      <c r="D188" s="21" t="s">
        <v>70</v>
      </c>
      <c r="E188" s="13"/>
      <c r="F188" s="13"/>
      <c r="G188" s="13"/>
      <c r="H188" s="13"/>
      <c r="I188" s="13">
        <f t="shared" si="11"/>
        <v>0</v>
      </c>
      <c r="J188" s="13"/>
      <c r="K188" s="13"/>
      <c r="L188" s="13">
        <f t="shared" si="12"/>
        <v>0</v>
      </c>
      <c r="M188" s="13"/>
    </row>
    <row r="189" spans="1:13" ht="15.75" hidden="1">
      <c r="A189" s="138"/>
      <c r="B189" s="141"/>
      <c r="C189" s="18" t="s">
        <v>51</v>
      </c>
      <c r="D189" s="20" t="s">
        <v>46</v>
      </c>
      <c r="E189" s="13">
        <v>-454.8</v>
      </c>
      <c r="F189" s="13"/>
      <c r="G189" s="13"/>
      <c r="H189" s="13">
        <v>-283.45</v>
      </c>
      <c r="I189" s="13">
        <f t="shared" si="11"/>
        <v>-283.45</v>
      </c>
      <c r="J189" s="13"/>
      <c r="K189" s="13"/>
      <c r="L189" s="13">
        <f t="shared" si="12"/>
        <v>171.35000000000002</v>
      </c>
      <c r="M189" s="13">
        <f>H189/E189*100</f>
        <v>62.32409850483729</v>
      </c>
    </row>
    <row r="190" spans="1:13" s="28" customFormat="1" ht="31.5" customHeight="1" hidden="1">
      <c r="A190" s="138"/>
      <c r="B190" s="141"/>
      <c r="C190" s="36"/>
      <c r="D190" s="26" t="s">
        <v>56</v>
      </c>
      <c r="E190" s="27">
        <f>E191-E189</f>
        <v>361.3</v>
      </c>
      <c r="F190" s="27">
        <f>F191-F189</f>
        <v>4498.9</v>
      </c>
      <c r="G190" s="27">
        <f>G191-G189</f>
        <v>693.4</v>
      </c>
      <c r="H190" s="27">
        <f>H191-H189</f>
        <v>693.4</v>
      </c>
      <c r="I190" s="13">
        <f t="shared" si="11"/>
        <v>0</v>
      </c>
      <c r="J190" s="13">
        <f>H190/G190*100</f>
        <v>100</v>
      </c>
      <c r="K190" s="27">
        <f>H190/F190*100</f>
        <v>15.412656427126631</v>
      </c>
      <c r="L190" s="13">
        <f t="shared" si="12"/>
        <v>332.09999999999997</v>
      </c>
      <c r="M190" s="13">
        <f>H190/E190*100</f>
        <v>191.91807362302796</v>
      </c>
    </row>
    <row r="191" spans="1:13" s="33" customFormat="1" ht="15.75" hidden="1">
      <c r="A191" s="138"/>
      <c r="B191" s="141"/>
      <c r="C191" s="47"/>
      <c r="D191" s="31" t="s">
        <v>77</v>
      </c>
      <c r="E191" s="43">
        <f>SUM(E178:E180,E183:E189)</f>
        <v>-93.5</v>
      </c>
      <c r="F191" s="43">
        <f>SUM(F178:F180,F183:F189)</f>
        <v>4498.9</v>
      </c>
      <c r="G191" s="43">
        <f>SUM(G178:G180,G183:G189)</f>
        <v>693.4</v>
      </c>
      <c r="H191" s="43">
        <f>SUM(H178:H180,H183:H189)</f>
        <v>409.95</v>
      </c>
      <c r="I191" s="32">
        <f t="shared" si="11"/>
        <v>-283.45</v>
      </c>
      <c r="J191" s="32">
        <f>H191/G191*100</f>
        <v>59.12171906547448</v>
      </c>
      <c r="K191" s="32">
        <f>H191/F191*100</f>
        <v>9.112227433372603</v>
      </c>
      <c r="L191" s="32">
        <f t="shared" si="12"/>
        <v>503.45</v>
      </c>
      <c r="M191" s="32">
        <f>H191/E191*100</f>
        <v>-438.4491978609626</v>
      </c>
    </row>
    <row r="192" spans="1:13" ht="31.5" customHeight="1" hidden="1">
      <c r="A192" s="137" t="s">
        <v>119</v>
      </c>
      <c r="B192" s="114" t="s">
        <v>120</v>
      </c>
      <c r="C192" s="18" t="s">
        <v>27</v>
      </c>
      <c r="D192" s="22" t="s">
        <v>28</v>
      </c>
      <c r="E192" s="13"/>
      <c r="F192" s="13"/>
      <c r="G192" s="13"/>
      <c r="H192" s="13">
        <v>10.45</v>
      </c>
      <c r="I192" s="13">
        <f t="shared" si="11"/>
        <v>10.45</v>
      </c>
      <c r="J192" s="13"/>
      <c r="K192" s="13"/>
      <c r="L192" s="13">
        <f t="shared" si="12"/>
        <v>10.45</v>
      </c>
      <c r="M192" s="13"/>
    </row>
    <row r="193" spans="1:13" ht="15.75" customHeight="1" hidden="1">
      <c r="A193" s="137"/>
      <c r="B193" s="114"/>
      <c r="C193" s="18" t="s">
        <v>113</v>
      </c>
      <c r="D193" s="20" t="s">
        <v>114</v>
      </c>
      <c r="E193" s="13"/>
      <c r="F193" s="13"/>
      <c r="G193" s="13"/>
      <c r="H193" s="13"/>
      <c r="I193" s="13">
        <f t="shared" si="11"/>
        <v>0</v>
      </c>
      <c r="J193" s="13"/>
      <c r="K193" s="13"/>
      <c r="L193" s="13">
        <f t="shared" si="12"/>
        <v>0</v>
      </c>
      <c r="M193" s="13"/>
    </row>
    <row r="194" spans="1:13" ht="15.75" hidden="1">
      <c r="A194" s="138"/>
      <c r="B194" s="141"/>
      <c r="C194" s="18" t="s">
        <v>35</v>
      </c>
      <c r="D194" s="20" t="s">
        <v>36</v>
      </c>
      <c r="E194" s="13">
        <f>E195</f>
        <v>0</v>
      </c>
      <c r="F194" s="13">
        <f>F195</f>
        <v>0</v>
      </c>
      <c r="G194" s="13">
        <f>G195</f>
        <v>0</v>
      </c>
      <c r="H194" s="13">
        <f>H195</f>
        <v>0</v>
      </c>
      <c r="I194" s="13">
        <f t="shared" si="11"/>
        <v>0</v>
      </c>
      <c r="J194" s="13"/>
      <c r="K194" s="13"/>
      <c r="L194" s="13">
        <f t="shared" si="12"/>
        <v>0</v>
      </c>
      <c r="M194" s="13"/>
    </row>
    <row r="195" spans="1:13" ht="47.25" customHeight="1" hidden="1">
      <c r="A195" s="138"/>
      <c r="B195" s="141"/>
      <c r="C195" s="16" t="s">
        <v>39</v>
      </c>
      <c r="D195" s="21" t="s">
        <v>40</v>
      </c>
      <c r="E195" s="13"/>
      <c r="F195" s="13"/>
      <c r="G195" s="13"/>
      <c r="H195" s="13"/>
      <c r="I195" s="13">
        <f t="shared" si="11"/>
        <v>0</v>
      </c>
      <c r="J195" s="13"/>
      <c r="K195" s="13"/>
      <c r="L195" s="13">
        <f t="shared" si="12"/>
        <v>0</v>
      </c>
      <c r="M195" s="13"/>
    </row>
    <row r="196" spans="1:13" ht="15.75" hidden="1">
      <c r="A196" s="138"/>
      <c r="B196" s="141"/>
      <c r="C196" s="18" t="s">
        <v>41</v>
      </c>
      <c r="D196" s="20" t="s">
        <v>42</v>
      </c>
      <c r="E196" s="13"/>
      <c r="F196" s="13"/>
      <c r="G196" s="13"/>
      <c r="H196" s="13">
        <v>20.53</v>
      </c>
      <c r="I196" s="13">
        <f t="shared" si="11"/>
        <v>20.53</v>
      </c>
      <c r="J196" s="13"/>
      <c r="K196" s="13"/>
      <c r="L196" s="13">
        <f t="shared" si="12"/>
        <v>20.53</v>
      </c>
      <c r="M196" s="13"/>
    </row>
    <row r="197" spans="1:13" ht="31.5" hidden="1">
      <c r="A197" s="138"/>
      <c r="B197" s="141"/>
      <c r="C197" s="18" t="s">
        <v>43</v>
      </c>
      <c r="D197" s="20" t="s">
        <v>44</v>
      </c>
      <c r="E197" s="13"/>
      <c r="F197" s="13">
        <v>1117.1</v>
      </c>
      <c r="G197" s="13"/>
      <c r="H197" s="13"/>
      <c r="I197" s="13">
        <f t="shared" si="11"/>
        <v>0</v>
      </c>
      <c r="J197" s="13"/>
      <c r="K197" s="13">
        <f>H197/F197*100</f>
        <v>0</v>
      </c>
      <c r="L197" s="13">
        <f t="shared" si="12"/>
        <v>0</v>
      </c>
      <c r="M197" s="13"/>
    </row>
    <row r="198" spans="1:13" ht="15.75" customHeight="1" hidden="1">
      <c r="A198" s="138"/>
      <c r="B198" s="141"/>
      <c r="C198" s="18" t="s">
        <v>45</v>
      </c>
      <c r="D198" s="20" t="s">
        <v>46</v>
      </c>
      <c r="F198" s="13"/>
      <c r="G198" s="13"/>
      <c r="H198" s="13"/>
      <c r="I198" s="13">
        <f t="shared" si="11"/>
        <v>0</v>
      </c>
      <c r="J198" s="13"/>
      <c r="K198" s="13"/>
      <c r="L198" s="13">
        <f t="shared" si="12"/>
        <v>0</v>
      </c>
      <c r="M198" s="13"/>
    </row>
    <row r="199" spans="1:13" ht="15.75" customHeight="1" hidden="1">
      <c r="A199" s="138"/>
      <c r="B199" s="141"/>
      <c r="C199" s="18" t="s">
        <v>47</v>
      </c>
      <c r="D199" s="20" t="s">
        <v>48</v>
      </c>
      <c r="E199" s="13"/>
      <c r="F199" s="13"/>
      <c r="G199" s="13"/>
      <c r="H199" s="13"/>
      <c r="I199" s="13">
        <f t="shared" si="11"/>
        <v>0</v>
      </c>
      <c r="J199" s="13"/>
      <c r="K199" s="13"/>
      <c r="L199" s="13">
        <f t="shared" si="12"/>
        <v>0</v>
      </c>
      <c r="M199" s="13"/>
    </row>
    <row r="200" spans="1:13" ht="31.5" hidden="1">
      <c r="A200" s="138"/>
      <c r="B200" s="141"/>
      <c r="C200" s="18" t="s">
        <v>49</v>
      </c>
      <c r="D200" s="20" t="s">
        <v>101</v>
      </c>
      <c r="E200" s="13">
        <v>295.5</v>
      </c>
      <c r="F200" s="13">
        <f>3000+1100+30</f>
        <v>4130</v>
      </c>
      <c r="G200" s="13">
        <v>388.4</v>
      </c>
      <c r="H200" s="13">
        <f>388.4+275</f>
        <v>663.4</v>
      </c>
      <c r="I200" s="13">
        <f t="shared" si="11"/>
        <v>275</v>
      </c>
      <c r="J200" s="13">
        <f>H200/G200*100</f>
        <v>170.8032955715757</v>
      </c>
      <c r="K200" s="13">
        <f>H200/F200*100</f>
        <v>16.062953995157383</v>
      </c>
      <c r="L200" s="13">
        <f t="shared" si="12"/>
        <v>367.9</v>
      </c>
      <c r="M200" s="13">
        <f>H200/E200*100</f>
        <v>224.50084602368867</v>
      </c>
    </row>
    <row r="201" spans="1:13" ht="15.75" customHeight="1" hidden="1">
      <c r="A201" s="138"/>
      <c r="B201" s="141"/>
      <c r="C201" s="18" t="s">
        <v>69</v>
      </c>
      <c r="D201" s="21" t="s">
        <v>70</v>
      </c>
      <c r="E201" s="13"/>
      <c r="F201" s="13"/>
      <c r="G201" s="13"/>
      <c r="H201" s="13"/>
      <c r="I201" s="13">
        <f aca="true" t="shared" si="13" ref="I201:I264">H201-G201</f>
        <v>0</v>
      </c>
      <c r="J201" s="13"/>
      <c r="K201" s="13"/>
      <c r="L201" s="13">
        <f>H201-E201</f>
        <v>0</v>
      </c>
      <c r="M201" s="13"/>
    </row>
    <row r="202" spans="1:13" ht="15.75" customHeight="1" hidden="1">
      <c r="A202" s="138"/>
      <c r="B202" s="141"/>
      <c r="C202" s="18" t="s">
        <v>51</v>
      </c>
      <c r="D202" s="20" t="s">
        <v>46</v>
      </c>
      <c r="E202" s="13">
        <v>-731.7</v>
      </c>
      <c r="F202" s="13"/>
      <c r="G202" s="13"/>
      <c r="H202" s="13">
        <v>-456.92</v>
      </c>
      <c r="I202" s="13">
        <f t="shared" si="13"/>
        <v>-456.92</v>
      </c>
      <c r="J202" s="13"/>
      <c r="K202" s="13"/>
      <c r="L202" s="13">
        <f>H202-E202</f>
        <v>274.78000000000003</v>
      </c>
      <c r="M202" s="13">
        <f>H202/E202*100</f>
        <v>62.4463577969113</v>
      </c>
    </row>
    <row r="203" spans="1:13" s="28" customFormat="1" ht="47.25" hidden="1">
      <c r="A203" s="138"/>
      <c r="B203" s="141"/>
      <c r="C203" s="36"/>
      <c r="D203" s="26" t="s">
        <v>56</v>
      </c>
      <c r="E203" s="27">
        <f>E204-E202</f>
        <v>295.5</v>
      </c>
      <c r="F203" s="27">
        <f>F204-F202</f>
        <v>5247.1</v>
      </c>
      <c r="G203" s="27">
        <f>G204-G202</f>
        <v>388.4</v>
      </c>
      <c r="H203" s="27">
        <f>H204-H202</f>
        <v>694.38</v>
      </c>
      <c r="I203" s="13">
        <f t="shared" si="13"/>
        <v>305.98</v>
      </c>
      <c r="J203" s="13">
        <f>H203/G203*100</f>
        <v>178.7796086508754</v>
      </c>
      <c r="K203" s="27">
        <f>H203/F203*100</f>
        <v>13.23359570048217</v>
      </c>
      <c r="L203" s="13">
        <f aca="true" t="shared" si="14" ref="L203:L265">H203-E203</f>
        <v>398.88</v>
      </c>
      <c r="M203" s="13">
        <f>H203/E203*100</f>
        <v>234.98477157360406</v>
      </c>
    </row>
    <row r="204" spans="1:13" s="33" customFormat="1" ht="15.75" hidden="1">
      <c r="A204" s="138"/>
      <c r="B204" s="141"/>
      <c r="C204" s="47"/>
      <c r="D204" s="31" t="s">
        <v>77</v>
      </c>
      <c r="E204" s="43">
        <f>SUM(E192:E194,E196:E202)</f>
        <v>-436.20000000000005</v>
      </c>
      <c r="F204" s="43">
        <f>SUM(F192:F194,F196:F202)</f>
        <v>5247.1</v>
      </c>
      <c r="G204" s="43">
        <f>SUM(G192:G194,G196:G202)</f>
        <v>388.4</v>
      </c>
      <c r="H204" s="43">
        <f>SUM(H192:H194,H196:H202)</f>
        <v>237.45999999999998</v>
      </c>
      <c r="I204" s="32">
        <f t="shared" si="13"/>
        <v>-150.94</v>
      </c>
      <c r="J204" s="32">
        <f>H204/G204*100</f>
        <v>61.13800205973223</v>
      </c>
      <c r="K204" s="32">
        <f>H204/F204*100</f>
        <v>4.525547445255474</v>
      </c>
      <c r="L204" s="32">
        <f t="shared" si="14"/>
        <v>673.6600000000001</v>
      </c>
      <c r="M204" s="32">
        <f>H204/E204*100</f>
        <v>-54.438331040806965</v>
      </c>
    </row>
    <row r="205" spans="1:13" s="28" customFormat="1" ht="15.75" customHeight="1" hidden="1">
      <c r="A205" s="130">
        <v>936</v>
      </c>
      <c r="B205" s="130" t="s">
        <v>121</v>
      </c>
      <c r="C205" s="18" t="s">
        <v>35</v>
      </c>
      <c r="D205" s="20" t="s">
        <v>36</v>
      </c>
      <c r="E205" s="13">
        <f>E206</f>
        <v>0</v>
      </c>
      <c r="F205" s="13">
        <f>F206</f>
        <v>0</v>
      </c>
      <c r="G205" s="13">
        <f>G206</f>
        <v>0</v>
      </c>
      <c r="H205" s="13">
        <f>H206</f>
        <v>0</v>
      </c>
      <c r="I205" s="13">
        <f t="shared" si="13"/>
        <v>0</v>
      </c>
      <c r="J205" s="13"/>
      <c r="K205" s="13"/>
      <c r="L205" s="13">
        <f t="shared" si="14"/>
        <v>0</v>
      </c>
      <c r="M205" s="13"/>
    </row>
    <row r="206" spans="1:13" s="28" customFormat="1" ht="47.25" customHeight="1" hidden="1">
      <c r="A206" s="133"/>
      <c r="B206" s="139"/>
      <c r="C206" s="16" t="s">
        <v>39</v>
      </c>
      <c r="D206" s="21" t="s">
        <v>40</v>
      </c>
      <c r="E206" s="13"/>
      <c r="F206" s="13"/>
      <c r="G206" s="13"/>
      <c r="H206" s="13"/>
      <c r="I206" s="13">
        <f t="shared" si="13"/>
        <v>0</v>
      </c>
      <c r="J206" s="13"/>
      <c r="K206" s="13"/>
      <c r="L206" s="13">
        <f t="shared" si="14"/>
        <v>0</v>
      </c>
      <c r="M206" s="13"/>
    </row>
    <row r="207" spans="1:13" ht="15.75" customHeight="1" hidden="1">
      <c r="A207" s="133"/>
      <c r="B207" s="139"/>
      <c r="C207" s="18" t="s">
        <v>41</v>
      </c>
      <c r="D207" s="20" t="s">
        <v>42</v>
      </c>
      <c r="E207" s="13"/>
      <c r="F207" s="13"/>
      <c r="G207" s="13"/>
      <c r="H207" s="13"/>
      <c r="I207" s="13">
        <f t="shared" si="13"/>
        <v>0</v>
      </c>
      <c r="J207" s="13"/>
      <c r="K207" s="13"/>
      <c r="L207" s="13">
        <f t="shared" si="14"/>
        <v>0</v>
      </c>
      <c r="M207" s="13"/>
    </row>
    <row r="208" spans="1:13" ht="15.75" customHeight="1" hidden="1">
      <c r="A208" s="133"/>
      <c r="B208" s="139"/>
      <c r="C208" s="18" t="s">
        <v>43</v>
      </c>
      <c r="D208" s="20" t="s">
        <v>44</v>
      </c>
      <c r="E208" s="13"/>
      <c r="F208" s="13">
        <v>50</v>
      </c>
      <c r="G208" s="13"/>
      <c r="H208" s="13"/>
      <c r="I208" s="13">
        <f t="shared" si="13"/>
        <v>0</v>
      </c>
      <c r="J208" s="13"/>
      <c r="K208" s="13">
        <f>H208/F208*100</f>
        <v>0</v>
      </c>
      <c r="L208" s="13">
        <f t="shared" si="14"/>
        <v>0</v>
      </c>
      <c r="M208" s="13"/>
    </row>
    <row r="209" spans="1:13" ht="15.75" hidden="1">
      <c r="A209" s="133"/>
      <c r="B209" s="139"/>
      <c r="C209" s="18" t="s">
        <v>45</v>
      </c>
      <c r="D209" s="20" t="s">
        <v>46</v>
      </c>
      <c r="F209" s="13"/>
      <c r="G209" s="13"/>
      <c r="H209" s="13"/>
      <c r="I209" s="13">
        <f t="shared" si="13"/>
        <v>0</v>
      </c>
      <c r="J209" s="13"/>
      <c r="K209" s="13"/>
      <c r="L209" s="13">
        <f t="shared" si="14"/>
        <v>0</v>
      </c>
      <c r="M209" s="13">
        <f>H209/E213*100</f>
        <v>0</v>
      </c>
    </row>
    <row r="210" spans="1:13" ht="15.75" hidden="1">
      <c r="A210" s="133"/>
      <c r="B210" s="139"/>
      <c r="C210" s="18" t="s">
        <v>47</v>
      </c>
      <c r="D210" s="20" t="s">
        <v>48</v>
      </c>
      <c r="E210" s="13"/>
      <c r="F210" s="13"/>
      <c r="G210" s="13"/>
      <c r="H210" s="13"/>
      <c r="I210" s="13">
        <f t="shared" si="13"/>
        <v>0</v>
      </c>
      <c r="J210" s="13"/>
      <c r="K210" s="13"/>
      <c r="L210" s="13">
        <f t="shared" si="14"/>
        <v>0</v>
      </c>
      <c r="M210" s="13"/>
    </row>
    <row r="211" spans="1:13" ht="15.75" customHeight="1" hidden="1">
      <c r="A211" s="133"/>
      <c r="B211" s="139"/>
      <c r="C211" s="18" t="s">
        <v>49</v>
      </c>
      <c r="D211" s="20" t="s">
        <v>101</v>
      </c>
      <c r="E211" s="13">
        <v>295.5</v>
      </c>
      <c r="F211" s="13">
        <f>2700+1100+95</f>
        <v>3895</v>
      </c>
      <c r="G211" s="13">
        <f>473.2+275</f>
        <v>748.2</v>
      </c>
      <c r="H211" s="13">
        <f>473.2+275</f>
        <v>748.2</v>
      </c>
      <c r="I211" s="13">
        <f t="shared" si="13"/>
        <v>0</v>
      </c>
      <c r="J211" s="13">
        <f>H211/G211*100</f>
        <v>100</v>
      </c>
      <c r="K211" s="13">
        <f>H211/F211*100</f>
        <v>19.20924261874198</v>
      </c>
      <c r="L211" s="13">
        <f t="shared" si="14"/>
        <v>452.70000000000005</v>
      </c>
      <c r="M211" s="13">
        <f>H211/E211*100</f>
        <v>253.19796954314722</v>
      </c>
    </row>
    <row r="212" spans="1:13" ht="15.75" hidden="1">
      <c r="A212" s="133"/>
      <c r="B212" s="139"/>
      <c r="C212" s="18" t="s">
        <v>69</v>
      </c>
      <c r="D212" s="21" t="s">
        <v>70</v>
      </c>
      <c r="E212" s="13"/>
      <c r="F212" s="13"/>
      <c r="G212" s="13"/>
      <c r="H212" s="13"/>
      <c r="I212" s="13">
        <f t="shared" si="13"/>
        <v>0</v>
      </c>
      <c r="J212" s="13"/>
      <c r="K212" s="13"/>
      <c r="L212" s="13">
        <f t="shared" si="14"/>
        <v>0</v>
      </c>
      <c r="M212" s="13"/>
    </row>
    <row r="213" spans="1:13" ht="15.75" hidden="1">
      <c r="A213" s="133"/>
      <c r="B213" s="139"/>
      <c r="C213" s="18" t="s">
        <v>51</v>
      </c>
      <c r="D213" s="20" t="s">
        <v>46</v>
      </c>
      <c r="E213" s="13">
        <v>-658.3</v>
      </c>
      <c r="F213" s="13"/>
      <c r="G213" s="13"/>
      <c r="H213" s="13">
        <v>-288.81</v>
      </c>
      <c r="I213" s="13">
        <f t="shared" si="13"/>
        <v>-288.81</v>
      </c>
      <c r="J213" s="13"/>
      <c r="K213" s="13"/>
      <c r="L213" s="13">
        <f t="shared" si="14"/>
        <v>369.48999999999995</v>
      </c>
      <c r="M213" s="13">
        <f>H213/E213*100</f>
        <v>43.872094789609605</v>
      </c>
    </row>
    <row r="214" spans="1:13" s="28" customFormat="1" ht="47.25" hidden="1">
      <c r="A214" s="133"/>
      <c r="B214" s="139"/>
      <c r="C214" s="36"/>
      <c r="D214" s="26" t="s">
        <v>56</v>
      </c>
      <c r="E214" s="27">
        <f>E215-E213</f>
        <v>295.5</v>
      </c>
      <c r="F214" s="27">
        <f>F215-F213</f>
        <v>3945</v>
      </c>
      <c r="G214" s="27">
        <f>G215-G213</f>
        <v>748.2</v>
      </c>
      <c r="H214" s="27">
        <f>H215-H213</f>
        <v>748.2</v>
      </c>
      <c r="I214" s="13">
        <f t="shared" si="13"/>
        <v>0</v>
      </c>
      <c r="J214" s="13">
        <f>H214/G214*100</f>
        <v>100</v>
      </c>
      <c r="K214" s="27">
        <f>H214/F214*100</f>
        <v>18.965779467680612</v>
      </c>
      <c r="L214" s="13">
        <f t="shared" si="14"/>
        <v>452.70000000000005</v>
      </c>
      <c r="M214" s="13">
        <f>H214/E214*100</f>
        <v>253.19796954314722</v>
      </c>
    </row>
    <row r="215" spans="1:13" s="33" customFormat="1" ht="15.75" hidden="1">
      <c r="A215" s="129"/>
      <c r="B215" s="140"/>
      <c r="C215" s="47"/>
      <c r="D215" s="31" t="s">
        <v>77</v>
      </c>
      <c r="E215" s="43">
        <f>SUM(E205,E207:E213)</f>
        <v>-362.79999999999995</v>
      </c>
      <c r="F215" s="43">
        <f>SUM(F205,F207:F213)</f>
        <v>3945</v>
      </c>
      <c r="G215" s="43">
        <f>SUM(G205,G207:G213)</f>
        <v>748.2</v>
      </c>
      <c r="H215" s="43">
        <f>SUM(H205,H207:H213)</f>
        <v>459.39000000000004</v>
      </c>
      <c r="I215" s="32">
        <f t="shared" si="13"/>
        <v>-288.81</v>
      </c>
      <c r="J215" s="32">
        <f>H215/G215*100</f>
        <v>61.39935846030473</v>
      </c>
      <c r="K215" s="32">
        <f>H215/F215*100</f>
        <v>11.644866920152094</v>
      </c>
      <c r="L215" s="32">
        <f t="shared" si="14"/>
        <v>822.19</v>
      </c>
      <c r="M215" s="32">
        <f>H215/E215*100</f>
        <v>-126.62348401323045</v>
      </c>
    </row>
    <row r="216" spans="1:13" ht="31.5" customHeight="1" hidden="1">
      <c r="A216" s="137" t="s">
        <v>122</v>
      </c>
      <c r="B216" s="114" t="s">
        <v>123</v>
      </c>
      <c r="C216" s="18" t="s">
        <v>27</v>
      </c>
      <c r="D216" s="22" t="s">
        <v>28</v>
      </c>
      <c r="E216" s="13"/>
      <c r="F216" s="13"/>
      <c r="G216" s="13"/>
      <c r="H216" s="13"/>
      <c r="I216" s="13">
        <f t="shared" si="13"/>
        <v>0</v>
      </c>
      <c r="J216" s="13"/>
      <c r="K216" s="13"/>
      <c r="L216" s="13">
        <f t="shared" si="14"/>
        <v>0</v>
      </c>
      <c r="M216" s="13"/>
    </row>
    <row r="217" spans="1:13" ht="15.75" customHeight="1" hidden="1">
      <c r="A217" s="137"/>
      <c r="B217" s="114"/>
      <c r="C217" s="18" t="s">
        <v>113</v>
      </c>
      <c r="D217" s="20" t="s">
        <v>114</v>
      </c>
      <c r="E217" s="13"/>
      <c r="F217" s="13"/>
      <c r="G217" s="13"/>
      <c r="H217" s="13"/>
      <c r="I217" s="13">
        <f t="shared" si="13"/>
        <v>0</v>
      </c>
      <c r="J217" s="13"/>
      <c r="K217" s="13"/>
      <c r="L217" s="13">
        <f t="shared" si="14"/>
        <v>0</v>
      </c>
      <c r="M217" s="13"/>
    </row>
    <row r="218" spans="1:13" ht="15.75" hidden="1">
      <c r="A218" s="138"/>
      <c r="B218" s="141"/>
      <c r="C218" s="18" t="s">
        <v>35</v>
      </c>
      <c r="D218" s="20" t="s">
        <v>36</v>
      </c>
      <c r="E218" s="13">
        <f>E219</f>
        <v>0</v>
      </c>
      <c r="F218" s="13">
        <f>F219</f>
        <v>0</v>
      </c>
      <c r="G218" s="13">
        <f>G219</f>
        <v>0</v>
      </c>
      <c r="H218" s="13"/>
      <c r="I218" s="13">
        <f t="shared" si="13"/>
        <v>0</v>
      </c>
      <c r="J218" s="13"/>
      <c r="K218" s="13"/>
      <c r="L218" s="13">
        <f t="shared" si="14"/>
        <v>0</v>
      </c>
      <c r="M218" s="13"/>
    </row>
    <row r="219" spans="1:13" ht="47.25" customHeight="1" hidden="1">
      <c r="A219" s="138"/>
      <c r="B219" s="141"/>
      <c r="C219" s="16" t="s">
        <v>39</v>
      </c>
      <c r="D219" s="21" t="s">
        <v>40</v>
      </c>
      <c r="E219" s="13"/>
      <c r="F219" s="13"/>
      <c r="G219" s="13"/>
      <c r="H219" s="13"/>
      <c r="I219" s="13">
        <f t="shared" si="13"/>
        <v>0</v>
      </c>
      <c r="J219" s="13"/>
      <c r="K219" s="13"/>
      <c r="L219" s="13">
        <f t="shared" si="14"/>
        <v>0</v>
      </c>
      <c r="M219" s="13"/>
    </row>
    <row r="220" spans="1:13" ht="15.75" customHeight="1" hidden="1">
      <c r="A220" s="138"/>
      <c r="B220" s="141"/>
      <c r="C220" s="18" t="s">
        <v>41</v>
      </c>
      <c r="D220" s="20" t="s">
        <v>42</v>
      </c>
      <c r="E220" s="13"/>
      <c r="F220" s="13"/>
      <c r="G220" s="13"/>
      <c r="H220" s="13">
        <v>21.02</v>
      </c>
      <c r="I220" s="13">
        <f t="shared" si="13"/>
        <v>21.02</v>
      </c>
      <c r="J220" s="13"/>
      <c r="K220" s="13"/>
      <c r="L220" s="13">
        <f t="shared" si="14"/>
        <v>21.02</v>
      </c>
      <c r="M220" s="13"/>
    </row>
    <row r="221" spans="1:13" ht="31.5" hidden="1">
      <c r="A221" s="138"/>
      <c r="B221" s="141"/>
      <c r="C221" s="18" t="s">
        <v>43</v>
      </c>
      <c r="D221" s="20" t="s">
        <v>44</v>
      </c>
      <c r="E221" s="13"/>
      <c r="F221" s="13">
        <v>230</v>
      </c>
      <c r="G221" s="13"/>
      <c r="H221" s="13"/>
      <c r="I221" s="13">
        <f t="shared" si="13"/>
        <v>0</v>
      </c>
      <c r="J221" s="13"/>
      <c r="K221" s="13">
        <f>H221/F221*100</f>
        <v>0</v>
      </c>
      <c r="L221" s="13">
        <f t="shared" si="14"/>
        <v>0</v>
      </c>
      <c r="M221" s="13"/>
    </row>
    <row r="222" spans="1:13" ht="15.75" hidden="1">
      <c r="A222" s="138"/>
      <c r="B222" s="141"/>
      <c r="C222" s="18" t="s">
        <v>45</v>
      </c>
      <c r="D222" s="20" t="s">
        <v>46</v>
      </c>
      <c r="F222" s="13"/>
      <c r="G222" s="13"/>
      <c r="H222" s="13"/>
      <c r="I222" s="13">
        <f t="shared" si="13"/>
        <v>0</v>
      </c>
      <c r="J222" s="13"/>
      <c r="K222" s="13"/>
      <c r="L222" s="13">
        <f t="shared" si="14"/>
        <v>0</v>
      </c>
      <c r="M222" s="13"/>
    </row>
    <row r="223" spans="1:13" ht="15.75" customHeight="1" hidden="1">
      <c r="A223" s="138"/>
      <c r="B223" s="141"/>
      <c r="C223" s="18" t="s">
        <v>47</v>
      </c>
      <c r="D223" s="20" t="s">
        <v>48</v>
      </c>
      <c r="E223" s="13"/>
      <c r="F223" s="13"/>
      <c r="G223" s="13"/>
      <c r="H223" s="13"/>
      <c r="I223" s="13">
        <f t="shared" si="13"/>
        <v>0</v>
      </c>
      <c r="J223" s="13"/>
      <c r="K223" s="13"/>
      <c r="L223" s="13">
        <f t="shared" si="14"/>
        <v>0</v>
      </c>
      <c r="M223" s="13"/>
    </row>
    <row r="224" spans="1:13" ht="31.5" hidden="1">
      <c r="A224" s="138"/>
      <c r="B224" s="141"/>
      <c r="C224" s="18" t="s">
        <v>49</v>
      </c>
      <c r="D224" s="20" t="s">
        <v>101</v>
      </c>
      <c r="E224" s="13">
        <v>260.9</v>
      </c>
      <c r="F224" s="13">
        <f>3000+950+50</f>
        <v>4000</v>
      </c>
      <c r="G224" s="13">
        <v>631</v>
      </c>
      <c r="H224" s="13">
        <f>631+237.5</f>
        <v>868.5</v>
      </c>
      <c r="I224" s="13">
        <f t="shared" si="13"/>
        <v>237.5</v>
      </c>
      <c r="J224" s="13">
        <f>H224/G224*100</f>
        <v>137.63866877971475</v>
      </c>
      <c r="K224" s="13">
        <f>H224/F224*100</f>
        <v>21.712500000000002</v>
      </c>
      <c r="L224" s="13">
        <f t="shared" si="14"/>
        <v>607.6</v>
      </c>
      <c r="M224" s="13">
        <f>H224/E224*100</f>
        <v>332.8861632809506</v>
      </c>
    </row>
    <row r="225" spans="1:13" ht="15.75" hidden="1">
      <c r="A225" s="138"/>
      <c r="B225" s="141"/>
      <c r="C225" s="18" t="s">
        <v>69</v>
      </c>
      <c r="D225" s="21" t="s">
        <v>70</v>
      </c>
      <c r="E225" s="13"/>
      <c r="F225" s="13"/>
      <c r="G225" s="13"/>
      <c r="H225" s="13"/>
      <c r="I225" s="13">
        <f t="shared" si="13"/>
        <v>0</v>
      </c>
      <c r="J225" s="13"/>
      <c r="K225" s="13"/>
      <c r="L225" s="13">
        <f t="shared" si="14"/>
        <v>0</v>
      </c>
      <c r="M225" s="13"/>
    </row>
    <row r="226" spans="1:13" ht="15.75" hidden="1">
      <c r="A226" s="138"/>
      <c r="B226" s="141"/>
      <c r="C226" s="18" t="s">
        <v>51</v>
      </c>
      <c r="D226" s="20" t="s">
        <v>46</v>
      </c>
      <c r="E226" s="13">
        <v>-331</v>
      </c>
      <c r="F226" s="13"/>
      <c r="G226" s="13"/>
      <c r="H226" s="13">
        <v>-277.21</v>
      </c>
      <c r="I226" s="13">
        <f t="shared" si="13"/>
        <v>-277.21</v>
      </c>
      <c r="J226" s="13"/>
      <c r="K226" s="13"/>
      <c r="L226" s="13">
        <f t="shared" si="14"/>
        <v>53.79000000000002</v>
      </c>
      <c r="M226" s="13">
        <f>H226/E226*100</f>
        <v>83.74924471299093</v>
      </c>
    </row>
    <row r="227" spans="1:13" s="28" customFormat="1" ht="31.5" customHeight="1" hidden="1">
      <c r="A227" s="138"/>
      <c r="B227" s="141"/>
      <c r="C227" s="36"/>
      <c r="D227" s="26" t="s">
        <v>56</v>
      </c>
      <c r="E227" s="27">
        <f>E228-E226</f>
        <v>260.9</v>
      </c>
      <c r="F227" s="27">
        <f>F228-F226</f>
        <v>4230</v>
      </c>
      <c r="G227" s="27">
        <f>G228-G226</f>
        <v>631</v>
      </c>
      <c r="H227" s="27">
        <f>H228-H226</f>
        <v>889.52</v>
      </c>
      <c r="I227" s="13">
        <f t="shared" si="13"/>
        <v>258.52</v>
      </c>
      <c r="J227" s="13">
        <f>H227/G227*100</f>
        <v>140.96988906497623</v>
      </c>
      <c r="K227" s="27">
        <f>H227/F227*100</f>
        <v>21.02884160756501</v>
      </c>
      <c r="L227" s="13">
        <f t="shared" si="14"/>
        <v>628.62</v>
      </c>
      <c r="M227" s="13">
        <f>H227/E227*100</f>
        <v>340.94288999616714</v>
      </c>
    </row>
    <row r="228" spans="1:13" s="33" customFormat="1" ht="15.75" hidden="1">
      <c r="A228" s="138"/>
      <c r="B228" s="141"/>
      <c r="C228" s="47"/>
      <c r="D228" s="31" t="s">
        <v>77</v>
      </c>
      <c r="E228" s="43">
        <f>SUM(E216:E218,E220:E226)</f>
        <v>-70.10000000000002</v>
      </c>
      <c r="F228" s="43">
        <f>SUM(F216:F218,F220:F226)</f>
        <v>4230</v>
      </c>
      <c r="G228" s="43">
        <f>SUM(G216:G218,G220:G226)</f>
        <v>631</v>
      </c>
      <c r="H228" s="43">
        <f>SUM(H216:H218,H220:H226)</f>
        <v>612.31</v>
      </c>
      <c r="I228" s="32">
        <f t="shared" si="13"/>
        <v>-18.690000000000055</v>
      </c>
      <c r="J228" s="32">
        <f>H228/G228*100</f>
        <v>97.03803486529317</v>
      </c>
      <c r="K228" s="32">
        <f>H228/F228*100</f>
        <v>14.475413711583924</v>
      </c>
      <c r="L228" s="32">
        <f t="shared" si="14"/>
        <v>682.41</v>
      </c>
      <c r="M228" s="32">
        <f>H228/E228*100</f>
        <v>-873.4807417974318</v>
      </c>
    </row>
    <row r="229" spans="1:13" ht="31.5" customHeight="1" hidden="1">
      <c r="A229" s="137" t="s">
        <v>124</v>
      </c>
      <c r="B229" s="130" t="s">
        <v>125</v>
      </c>
      <c r="C229" s="18" t="s">
        <v>27</v>
      </c>
      <c r="D229" s="22" t="s">
        <v>28</v>
      </c>
      <c r="E229" s="13"/>
      <c r="F229" s="13"/>
      <c r="G229" s="13"/>
      <c r="H229" s="13"/>
      <c r="I229" s="13">
        <f t="shared" si="13"/>
        <v>0</v>
      </c>
      <c r="J229" s="13"/>
      <c r="K229" s="13"/>
      <c r="L229" s="13">
        <f t="shared" si="14"/>
        <v>0</v>
      </c>
      <c r="M229" s="13"/>
    </row>
    <row r="230" spans="1:13" ht="15.75" customHeight="1" hidden="1">
      <c r="A230" s="137"/>
      <c r="B230" s="139"/>
      <c r="C230" s="18" t="s">
        <v>113</v>
      </c>
      <c r="D230" s="20" t="s">
        <v>114</v>
      </c>
      <c r="E230" s="13"/>
      <c r="F230" s="13"/>
      <c r="G230" s="13"/>
      <c r="H230" s="13"/>
      <c r="I230" s="13">
        <f t="shared" si="13"/>
        <v>0</v>
      </c>
      <c r="J230" s="13"/>
      <c r="K230" s="13"/>
      <c r="L230" s="13">
        <f t="shared" si="14"/>
        <v>0</v>
      </c>
      <c r="M230" s="13"/>
    </row>
    <row r="231" spans="1:13" ht="15.75" customHeight="1" hidden="1">
      <c r="A231" s="138"/>
      <c r="B231" s="139"/>
      <c r="C231" s="18" t="s">
        <v>35</v>
      </c>
      <c r="D231" s="20" t="s">
        <v>36</v>
      </c>
      <c r="E231" s="13">
        <f>E232</f>
        <v>0</v>
      </c>
      <c r="F231" s="13">
        <f>F232</f>
        <v>0</v>
      </c>
      <c r="G231" s="13">
        <f>G232</f>
        <v>0</v>
      </c>
      <c r="H231" s="13">
        <f>H232</f>
        <v>0</v>
      </c>
      <c r="I231" s="13">
        <f t="shared" si="13"/>
        <v>0</v>
      </c>
      <c r="J231" s="13"/>
      <c r="K231" s="13"/>
      <c r="L231" s="13">
        <f t="shared" si="14"/>
        <v>0</v>
      </c>
      <c r="M231" s="13"/>
    </row>
    <row r="232" spans="1:13" ht="47.25" customHeight="1" hidden="1">
      <c r="A232" s="138"/>
      <c r="B232" s="139"/>
      <c r="C232" s="16" t="s">
        <v>39</v>
      </c>
      <c r="D232" s="21" t="s">
        <v>40</v>
      </c>
      <c r="E232" s="13"/>
      <c r="F232" s="13"/>
      <c r="G232" s="13"/>
      <c r="H232" s="13"/>
      <c r="I232" s="13">
        <f t="shared" si="13"/>
        <v>0</v>
      </c>
      <c r="J232" s="13"/>
      <c r="K232" s="13"/>
      <c r="L232" s="13">
        <f t="shared" si="14"/>
        <v>0</v>
      </c>
      <c r="M232" s="13"/>
    </row>
    <row r="233" spans="1:13" ht="15.75" hidden="1">
      <c r="A233" s="138"/>
      <c r="B233" s="139"/>
      <c r="C233" s="18" t="s">
        <v>41</v>
      </c>
      <c r="D233" s="20" t="s">
        <v>42</v>
      </c>
      <c r="E233" s="7">
        <v>-2.5</v>
      </c>
      <c r="F233" s="13"/>
      <c r="G233" s="13"/>
      <c r="H233" s="13"/>
      <c r="I233" s="13">
        <f t="shared" si="13"/>
        <v>0</v>
      </c>
      <c r="J233" s="13"/>
      <c r="K233" s="13"/>
      <c r="L233" s="13">
        <f t="shared" si="14"/>
        <v>2.5</v>
      </c>
      <c r="M233" s="13">
        <f>H233/E233*100</f>
        <v>0</v>
      </c>
    </row>
    <row r="234" spans="1:13" ht="31.5" hidden="1">
      <c r="A234" s="138"/>
      <c r="B234" s="139"/>
      <c r="C234" s="18" t="s">
        <v>43</v>
      </c>
      <c r="D234" s="20" t="s">
        <v>44</v>
      </c>
      <c r="E234" s="13"/>
      <c r="F234" s="13">
        <v>44</v>
      </c>
      <c r="G234" s="13"/>
      <c r="H234" s="13"/>
      <c r="I234" s="13">
        <f t="shared" si="13"/>
        <v>0</v>
      </c>
      <c r="J234" s="13"/>
      <c r="K234" s="13"/>
      <c r="L234" s="13">
        <f t="shared" si="14"/>
        <v>0</v>
      </c>
      <c r="M234" s="13"/>
    </row>
    <row r="235" spans="1:13" ht="15.75" customHeight="1" hidden="1">
      <c r="A235" s="138"/>
      <c r="B235" s="139"/>
      <c r="C235" s="18" t="s">
        <v>45</v>
      </c>
      <c r="D235" s="20" t="s">
        <v>46</v>
      </c>
      <c r="F235" s="13"/>
      <c r="G235" s="13"/>
      <c r="H235" s="13"/>
      <c r="I235" s="13">
        <f t="shared" si="13"/>
        <v>0</v>
      </c>
      <c r="J235" s="13"/>
      <c r="K235" s="13"/>
      <c r="L235" s="13">
        <f t="shared" si="14"/>
        <v>0</v>
      </c>
      <c r="M235" s="13">
        <f>H235/E238*100</f>
        <v>0</v>
      </c>
    </row>
    <row r="236" spans="1:13" ht="15.75" customHeight="1" hidden="1">
      <c r="A236" s="138"/>
      <c r="B236" s="139"/>
      <c r="C236" s="18" t="s">
        <v>47</v>
      </c>
      <c r="D236" s="20" t="s">
        <v>48</v>
      </c>
      <c r="E236" s="13"/>
      <c r="F236" s="13"/>
      <c r="G236" s="13"/>
      <c r="H236" s="13"/>
      <c r="I236" s="13">
        <f t="shared" si="13"/>
        <v>0</v>
      </c>
      <c r="J236" s="13"/>
      <c r="K236" s="13"/>
      <c r="L236" s="13">
        <f t="shared" si="14"/>
        <v>0</v>
      </c>
      <c r="M236" s="13"/>
    </row>
    <row r="237" spans="1:13" ht="31.5" hidden="1">
      <c r="A237" s="138"/>
      <c r="B237" s="139"/>
      <c r="C237" s="18" t="s">
        <v>49</v>
      </c>
      <c r="D237" s="20" t="s">
        <v>101</v>
      </c>
      <c r="E237" s="13">
        <v>49.3</v>
      </c>
      <c r="F237" s="13">
        <f>850+50</f>
        <v>900</v>
      </c>
      <c r="G237" s="13">
        <v>89</v>
      </c>
      <c r="H237" s="13">
        <v>89</v>
      </c>
      <c r="I237" s="13">
        <f t="shared" si="13"/>
        <v>0</v>
      </c>
      <c r="J237" s="13">
        <f>H237/G237*100</f>
        <v>100</v>
      </c>
      <c r="K237" s="13">
        <f>H237/F237*100</f>
        <v>9.88888888888889</v>
      </c>
      <c r="L237" s="13">
        <f t="shared" si="14"/>
        <v>39.7</v>
      </c>
      <c r="M237" s="13">
        <f>H237/E237*100</f>
        <v>180.52738336713995</v>
      </c>
    </row>
    <row r="238" spans="1:13" ht="15.75" customHeight="1" hidden="1">
      <c r="A238" s="138"/>
      <c r="B238" s="139"/>
      <c r="C238" s="18" t="s">
        <v>51</v>
      </c>
      <c r="D238" s="21" t="s">
        <v>70</v>
      </c>
      <c r="E238" s="13">
        <v>-1</v>
      </c>
      <c r="F238" s="13"/>
      <c r="G238" s="13"/>
      <c r="H238" s="13"/>
      <c r="I238" s="13">
        <f t="shared" si="13"/>
        <v>0</v>
      </c>
      <c r="J238" s="13"/>
      <c r="K238" s="13"/>
      <c r="L238" s="13">
        <f t="shared" si="14"/>
        <v>1</v>
      </c>
      <c r="M238" s="13">
        <f>H238/E238*100</f>
        <v>0</v>
      </c>
    </row>
    <row r="239" spans="1:13" s="28" customFormat="1" ht="47.25" hidden="1">
      <c r="A239" s="138"/>
      <c r="B239" s="139"/>
      <c r="C239" s="36"/>
      <c r="D239" s="26" t="s">
        <v>56</v>
      </c>
      <c r="E239" s="27">
        <f>E240-E238</f>
        <v>46.8</v>
      </c>
      <c r="F239" s="27">
        <f>F240-F238</f>
        <v>944</v>
      </c>
      <c r="G239" s="27">
        <f>G240-G238</f>
        <v>89</v>
      </c>
      <c r="H239" s="27">
        <f>H240-H238</f>
        <v>89</v>
      </c>
      <c r="I239" s="13">
        <f t="shared" si="13"/>
        <v>0</v>
      </c>
      <c r="J239" s="13">
        <f>H239/G239*100</f>
        <v>100</v>
      </c>
      <c r="K239" s="27">
        <f>H239/F239*100</f>
        <v>9.427966101694915</v>
      </c>
      <c r="L239" s="13">
        <f t="shared" si="14"/>
        <v>42.2</v>
      </c>
      <c r="M239" s="13">
        <f>H239/E239*100</f>
        <v>190.17094017094018</v>
      </c>
    </row>
    <row r="240" spans="1:13" s="33" customFormat="1" ht="25.5" customHeight="1" hidden="1">
      <c r="A240" s="138"/>
      <c r="B240" s="139"/>
      <c r="C240" s="47"/>
      <c r="D240" s="31" t="s">
        <v>77</v>
      </c>
      <c r="E240" s="43">
        <f>SUM(E229:E231,E233:E238)</f>
        <v>45.8</v>
      </c>
      <c r="F240" s="43">
        <f>SUM(F229:F231,F233:F238)</f>
        <v>944</v>
      </c>
      <c r="G240" s="43">
        <f>SUM(G229:G231,G233:G238)</f>
        <v>89</v>
      </c>
      <c r="H240" s="43">
        <f>SUM(H229:H231,H233:H238)</f>
        <v>89</v>
      </c>
      <c r="I240" s="32">
        <f t="shared" si="13"/>
        <v>0</v>
      </c>
      <c r="J240" s="32">
        <f>H240/G240*100</f>
        <v>100</v>
      </c>
      <c r="K240" s="32">
        <f>H240/F240*100</f>
        <v>9.427966101694915</v>
      </c>
      <c r="L240" s="32">
        <f t="shared" si="14"/>
        <v>43.2</v>
      </c>
      <c r="M240" s="32">
        <f>H240/E240*100</f>
        <v>194.3231441048035</v>
      </c>
    </row>
    <row r="241" spans="1:13" ht="94.5" hidden="1">
      <c r="A241" s="128" t="s">
        <v>126</v>
      </c>
      <c r="B241" s="130" t="s">
        <v>127</v>
      </c>
      <c r="C241" s="16" t="s">
        <v>25</v>
      </c>
      <c r="D241" s="21" t="s">
        <v>128</v>
      </c>
      <c r="E241" s="13">
        <v>41.2</v>
      </c>
      <c r="F241" s="13">
        <v>1612.5</v>
      </c>
      <c r="G241" s="13">
        <v>30</v>
      </c>
      <c r="H241" s="13">
        <v>31.33</v>
      </c>
      <c r="I241" s="13">
        <f t="shared" si="13"/>
        <v>1.3299999999999983</v>
      </c>
      <c r="J241" s="13">
        <f>H241/G241*100</f>
        <v>104.43333333333334</v>
      </c>
      <c r="K241" s="13">
        <f>H241/F241*100</f>
        <v>1.9429457364341085</v>
      </c>
      <c r="L241" s="13">
        <f t="shared" si="14"/>
        <v>-9.870000000000005</v>
      </c>
      <c r="M241" s="13">
        <f>H241/E241*100</f>
        <v>76.04368932038834</v>
      </c>
    </row>
    <row r="242" spans="1:13" ht="31.5" customHeight="1" hidden="1">
      <c r="A242" s="133"/>
      <c r="B242" s="134"/>
      <c r="C242" s="18" t="s">
        <v>27</v>
      </c>
      <c r="D242" s="22" t="s">
        <v>28</v>
      </c>
      <c r="E242" s="39">
        <v>2017.7</v>
      </c>
      <c r="F242" s="13"/>
      <c r="G242" s="13"/>
      <c r="H242" s="39">
        <v>0.08</v>
      </c>
      <c r="I242" s="13">
        <f t="shared" si="13"/>
        <v>0.08</v>
      </c>
      <c r="J242" s="13"/>
      <c r="K242" s="13"/>
      <c r="L242" s="13">
        <f t="shared" si="14"/>
        <v>-2017.6200000000001</v>
      </c>
      <c r="M242" s="13">
        <f aca="true" t="shared" si="15" ref="M242:M258">H242/E242*100</f>
        <v>0.003964910541705903</v>
      </c>
    </row>
    <row r="243" spans="1:13" ht="15.75" customHeight="1" hidden="1">
      <c r="A243" s="133"/>
      <c r="B243" s="134"/>
      <c r="C243" s="18" t="s">
        <v>35</v>
      </c>
      <c r="D243" s="20" t="s">
        <v>36</v>
      </c>
      <c r="E243" s="13">
        <f>SUM(E244:E245)</f>
        <v>0</v>
      </c>
      <c r="F243" s="13">
        <f>SUM(F244:F245)</f>
        <v>0</v>
      </c>
      <c r="G243" s="13">
        <f>SUM(G244:G245)</f>
        <v>0</v>
      </c>
      <c r="H243" s="13">
        <f>SUM(H244:H245)</f>
        <v>0</v>
      </c>
      <c r="I243" s="13">
        <f t="shared" si="13"/>
        <v>0</v>
      </c>
      <c r="J243" s="13"/>
      <c r="K243" s="13"/>
      <c r="L243" s="13">
        <f t="shared" si="14"/>
        <v>0</v>
      </c>
      <c r="M243" s="13" t="e">
        <f t="shared" si="15"/>
        <v>#DIV/0!</v>
      </c>
    </row>
    <row r="244" spans="1:13" ht="63" customHeight="1" hidden="1">
      <c r="A244" s="133"/>
      <c r="B244" s="134"/>
      <c r="C244" s="16" t="s">
        <v>37</v>
      </c>
      <c r="D244" s="24" t="s">
        <v>38</v>
      </c>
      <c r="E244" s="13"/>
      <c r="F244" s="13"/>
      <c r="G244" s="13"/>
      <c r="H244" s="13"/>
      <c r="I244" s="13">
        <f t="shared" si="13"/>
        <v>0</v>
      </c>
      <c r="J244" s="13"/>
      <c r="K244" s="13"/>
      <c r="L244" s="13">
        <f t="shared" si="14"/>
        <v>0</v>
      </c>
      <c r="M244" s="13" t="e">
        <f t="shared" si="15"/>
        <v>#DIV/0!</v>
      </c>
    </row>
    <row r="245" spans="1:13" ht="47.25" customHeight="1" hidden="1">
      <c r="A245" s="133"/>
      <c r="B245" s="134"/>
      <c r="C245" s="16" t="s">
        <v>39</v>
      </c>
      <c r="D245" s="21" t="s">
        <v>40</v>
      </c>
      <c r="E245" s="13"/>
      <c r="F245" s="13"/>
      <c r="G245" s="13"/>
      <c r="H245" s="13"/>
      <c r="I245" s="13">
        <f t="shared" si="13"/>
        <v>0</v>
      </c>
      <c r="J245" s="13"/>
      <c r="K245" s="13"/>
      <c r="L245" s="13">
        <f t="shared" si="14"/>
        <v>0</v>
      </c>
      <c r="M245" s="13" t="e">
        <f t="shared" si="15"/>
        <v>#DIV/0!</v>
      </c>
    </row>
    <row r="246" spans="1:13" ht="15.75" hidden="1">
      <c r="A246" s="133"/>
      <c r="B246" s="134"/>
      <c r="C246" s="18" t="s">
        <v>41</v>
      </c>
      <c r="D246" s="20" t="s">
        <v>42</v>
      </c>
      <c r="E246" s="13"/>
      <c r="F246" s="13"/>
      <c r="G246" s="13"/>
      <c r="H246" s="13">
        <v>0.13</v>
      </c>
      <c r="I246" s="13">
        <f t="shared" si="13"/>
        <v>0.13</v>
      </c>
      <c r="J246" s="13"/>
      <c r="K246" s="13"/>
      <c r="L246" s="13">
        <f>H246-E246</f>
        <v>0.13</v>
      </c>
      <c r="M246" s="13"/>
    </row>
    <row r="247" spans="1:13" ht="31.5" hidden="1">
      <c r="A247" s="133"/>
      <c r="B247" s="134"/>
      <c r="C247" s="18" t="s">
        <v>43</v>
      </c>
      <c r="D247" s="20" t="s">
        <v>44</v>
      </c>
      <c r="E247" s="13"/>
      <c r="F247" s="13"/>
      <c r="G247" s="13"/>
      <c r="H247" s="13"/>
      <c r="I247" s="13">
        <f t="shared" si="13"/>
        <v>0</v>
      </c>
      <c r="J247" s="13"/>
      <c r="K247" s="13"/>
      <c r="L247" s="13">
        <f t="shared" si="14"/>
        <v>0</v>
      </c>
      <c r="M247" s="13"/>
    </row>
    <row r="248" spans="1:13" ht="15.75" customHeight="1" hidden="1">
      <c r="A248" s="133"/>
      <c r="B248" s="134"/>
      <c r="C248" s="18" t="s">
        <v>45</v>
      </c>
      <c r="D248" s="20" t="s">
        <v>46</v>
      </c>
      <c r="F248" s="13"/>
      <c r="G248" s="13"/>
      <c r="H248" s="13"/>
      <c r="I248" s="13">
        <f t="shared" si="13"/>
        <v>0</v>
      </c>
      <c r="J248" s="13"/>
      <c r="K248" s="13"/>
      <c r="L248" s="13">
        <f t="shared" si="14"/>
        <v>0</v>
      </c>
      <c r="M248" s="13"/>
    </row>
    <row r="249" spans="1:13" ht="15.75" hidden="1">
      <c r="A249" s="133"/>
      <c r="B249" s="134"/>
      <c r="C249" s="18" t="s">
        <v>47</v>
      </c>
      <c r="D249" s="20" t="s">
        <v>48</v>
      </c>
      <c r="E249" s="13"/>
      <c r="F249" s="39"/>
      <c r="G249" s="39"/>
      <c r="H249" s="13"/>
      <c r="I249" s="13">
        <f t="shared" si="13"/>
        <v>0</v>
      </c>
      <c r="J249" s="13"/>
      <c r="K249" s="13"/>
      <c r="L249" s="13">
        <f t="shared" si="14"/>
        <v>0</v>
      </c>
      <c r="M249" s="13"/>
    </row>
    <row r="250" spans="1:13" ht="31.5" hidden="1">
      <c r="A250" s="133"/>
      <c r="B250" s="134"/>
      <c r="C250" s="18" t="s">
        <v>49</v>
      </c>
      <c r="D250" s="20" t="s">
        <v>101</v>
      </c>
      <c r="E250" s="13"/>
      <c r="F250" s="39">
        <v>120</v>
      </c>
      <c r="G250" s="39"/>
      <c r="H250" s="13"/>
      <c r="I250" s="13">
        <f t="shared" si="13"/>
        <v>0</v>
      </c>
      <c r="J250" s="13"/>
      <c r="K250" s="13">
        <f>H250/F250*100</f>
        <v>0</v>
      </c>
      <c r="L250" s="13">
        <f t="shared" si="14"/>
        <v>0</v>
      </c>
      <c r="M250" s="13"/>
    </row>
    <row r="251" spans="1:13" ht="31.5" customHeight="1" hidden="1">
      <c r="A251" s="133"/>
      <c r="B251" s="134"/>
      <c r="C251" s="18" t="s">
        <v>80</v>
      </c>
      <c r="D251" s="20" t="s">
        <v>81</v>
      </c>
      <c r="E251" s="13"/>
      <c r="F251" s="39"/>
      <c r="G251" s="39"/>
      <c r="H251" s="13"/>
      <c r="I251" s="13">
        <f t="shared" si="13"/>
        <v>0</v>
      </c>
      <c r="J251" s="13"/>
      <c r="K251" s="13"/>
      <c r="L251" s="13">
        <f t="shared" si="14"/>
        <v>0</v>
      </c>
      <c r="M251" s="13"/>
    </row>
    <row r="252" spans="1:13" ht="15.75" hidden="1">
      <c r="A252" s="133"/>
      <c r="B252" s="134"/>
      <c r="C252" s="18" t="s">
        <v>51</v>
      </c>
      <c r="D252" s="20" t="s">
        <v>46</v>
      </c>
      <c r="E252" s="13">
        <v>-7086.8</v>
      </c>
      <c r="F252" s="39"/>
      <c r="G252" s="39"/>
      <c r="H252" s="13">
        <v>-7284.11</v>
      </c>
      <c r="I252" s="13">
        <f t="shared" si="13"/>
        <v>-7284.11</v>
      </c>
      <c r="J252" s="13"/>
      <c r="K252" s="13"/>
      <c r="L252" s="13">
        <f>H252-E252</f>
        <v>-197.3099999999995</v>
      </c>
      <c r="M252" s="13">
        <f t="shared" si="15"/>
        <v>102.7841903256759</v>
      </c>
    </row>
    <row r="253" spans="1:13" s="28" customFormat="1" ht="15.75" customHeight="1" hidden="1">
      <c r="A253" s="133"/>
      <c r="B253" s="134"/>
      <c r="C253" s="25"/>
      <c r="D253" s="26" t="s">
        <v>52</v>
      </c>
      <c r="E253" s="40">
        <f>SUM(E241:E243,E246:E252)</f>
        <v>-5027.9</v>
      </c>
      <c r="F253" s="40">
        <f>SUM(F241:F243,F246:F251)</f>
        <v>1732.5</v>
      </c>
      <c r="G253" s="40">
        <f>SUM(G241:G243,G246:G251)</f>
        <v>30</v>
      </c>
      <c r="H253" s="40">
        <f>SUM(H241:H243,H246:H252)</f>
        <v>-7252.57</v>
      </c>
      <c r="I253" s="13">
        <f t="shared" si="13"/>
        <v>-7282.57</v>
      </c>
      <c r="J253" s="13">
        <f aca="true" t="shared" si="16" ref="J253:J258">H253/G253*100</f>
        <v>-24175.233333333334</v>
      </c>
      <c r="K253" s="27">
        <f aca="true" t="shared" si="17" ref="K253:K258">H253/F253*100</f>
        <v>-418.61875901875896</v>
      </c>
      <c r="L253" s="13">
        <f t="shared" si="14"/>
        <v>-2224.67</v>
      </c>
      <c r="M253" s="13">
        <f t="shared" si="15"/>
        <v>144.24650450486288</v>
      </c>
    </row>
    <row r="254" spans="1:13" ht="15.75" hidden="1">
      <c r="A254" s="133"/>
      <c r="B254" s="134"/>
      <c r="C254" s="18" t="s">
        <v>35</v>
      </c>
      <c r="D254" s="20" t="s">
        <v>36</v>
      </c>
      <c r="E254" s="13">
        <f>E255</f>
        <v>396.2</v>
      </c>
      <c r="F254" s="13">
        <f>F255</f>
        <v>6990</v>
      </c>
      <c r="G254" s="13">
        <f>G255</f>
        <v>298</v>
      </c>
      <c r="H254" s="13">
        <f>H255</f>
        <v>893.15</v>
      </c>
      <c r="I254" s="13">
        <f t="shared" si="13"/>
        <v>595.15</v>
      </c>
      <c r="J254" s="13">
        <f t="shared" si="16"/>
        <v>299.7147651006711</v>
      </c>
      <c r="K254" s="13">
        <f t="shared" si="17"/>
        <v>12.777539341917024</v>
      </c>
      <c r="L254" s="13">
        <f t="shared" si="14"/>
        <v>496.95</v>
      </c>
      <c r="M254" s="13">
        <f t="shared" si="15"/>
        <v>225.42907622412923</v>
      </c>
    </row>
    <row r="255" spans="1:13" ht="53.25" customHeight="1" hidden="1">
      <c r="A255" s="133"/>
      <c r="B255" s="134"/>
      <c r="C255" s="16" t="s">
        <v>39</v>
      </c>
      <c r="D255" s="21" t="s">
        <v>40</v>
      </c>
      <c r="E255" s="13">
        <v>396.2</v>
      </c>
      <c r="F255" s="13">
        <v>6990</v>
      </c>
      <c r="G255" s="13">
        <v>298</v>
      </c>
      <c r="H255" s="13">
        <v>893.15</v>
      </c>
      <c r="I255" s="13">
        <f t="shared" si="13"/>
        <v>595.15</v>
      </c>
      <c r="J255" s="13">
        <f t="shared" si="16"/>
        <v>299.7147651006711</v>
      </c>
      <c r="K255" s="13">
        <f t="shared" si="17"/>
        <v>12.777539341917024</v>
      </c>
      <c r="L255" s="13">
        <f t="shared" si="14"/>
        <v>496.95</v>
      </c>
      <c r="M255" s="13">
        <f t="shared" si="15"/>
        <v>225.42907622412923</v>
      </c>
    </row>
    <row r="256" spans="1:13" s="28" customFormat="1" ht="15.75" customHeight="1" hidden="1">
      <c r="A256" s="133"/>
      <c r="B256" s="134"/>
      <c r="C256" s="25"/>
      <c r="D256" s="26" t="s">
        <v>55</v>
      </c>
      <c r="E256" s="40">
        <f>E254</f>
        <v>396.2</v>
      </c>
      <c r="F256" s="40">
        <f>F254</f>
        <v>6990</v>
      </c>
      <c r="G256" s="40">
        <f>G254</f>
        <v>298</v>
      </c>
      <c r="H256" s="40">
        <f>H254</f>
        <v>893.15</v>
      </c>
      <c r="I256" s="13">
        <f t="shared" si="13"/>
        <v>595.15</v>
      </c>
      <c r="J256" s="13">
        <f t="shared" si="16"/>
        <v>299.7147651006711</v>
      </c>
      <c r="K256" s="27">
        <f t="shared" si="17"/>
        <v>12.777539341917024</v>
      </c>
      <c r="L256" s="13">
        <f t="shared" si="14"/>
        <v>496.95</v>
      </c>
      <c r="M256" s="13">
        <f t="shared" si="15"/>
        <v>225.42907622412923</v>
      </c>
    </row>
    <row r="257" spans="1:13" s="28" customFormat="1" ht="47.25" hidden="1">
      <c r="A257" s="133"/>
      <c r="B257" s="134"/>
      <c r="C257" s="25"/>
      <c r="D257" s="26" t="s">
        <v>56</v>
      </c>
      <c r="E257" s="40">
        <f>E258-E252</f>
        <v>2455.1000000000004</v>
      </c>
      <c r="F257" s="40">
        <f>F258-F252</f>
        <v>8722.5</v>
      </c>
      <c r="G257" s="40">
        <f>G258-G252</f>
        <v>328</v>
      </c>
      <c r="H257" s="40">
        <f>H258-H252</f>
        <v>924.6899999999996</v>
      </c>
      <c r="I257" s="13">
        <f t="shared" si="13"/>
        <v>596.6899999999996</v>
      </c>
      <c r="J257" s="13">
        <f t="shared" si="16"/>
        <v>281.9176829268292</v>
      </c>
      <c r="K257" s="27">
        <f t="shared" si="17"/>
        <v>10.601203783318997</v>
      </c>
      <c r="L257" s="13">
        <f t="shared" si="14"/>
        <v>-1530.4100000000008</v>
      </c>
      <c r="M257" s="13">
        <f t="shared" si="15"/>
        <v>37.66404627102764</v>
      </c>
    </row>
    <row r="258" spans="1:13" s="33" customFormat="1" ht="15.75" hidden="1">
      <c r="A258" s="129"/>
      <c r="B258" s="136"/>
      <c r="C258" s="30"/>
      <c r="D258" s="31" t="s">
        <v>77</v>
      </c>
      <c r="E258" s="43">
        <f>E253+E256</f>
        <v>-4631.7</v>
      </c>
      <c r="F258" s="43">
        <f>F253+F256</f>
        <v>8722.5</v>
      </c>
      <c r="G258" s="43">
        <f>G253+G256</f>
        <v>328</v>
      </c>
      <c r="H258" s="43">
        <f>H253+H256</f>
        <v>-6359.42</v>
      </c>
      <c r="I258" s="32">
        <f t="shared" si="13"/>
        <v>-6687.42</v>
      </c>
      <c r="J258" s="32">
        <f t="shared" si="16"/>
        <v>-1938.84756097561</v>
      </c>
      <c r="K258" s="32">
        <f t="shared" si="17"/>
        <v>-72.90822585267985</v>
      </c>
      <c r="L258" s="32">
        <f t="shared" si="14"/>
        <v>-1727.7200000000003</v>
      </c>
      <c r="M258" s="32">
        <f t="shared" si="15"/>
        <v>137.30207051406612</v>
      </c>
    </row>
    <row r="259" spans="1:13" s="28" customFormat="1" ht="31.5" customHeight="1" hidden="1">
      <c r="A259" s="130">
        <v>943</v>
      </c>
      <c r="B259" s="130" t="s">
        <v>129</v>
      </c>
      <c r="C259" s="18" t="s">
        <v>27</v>
      </c>
      <c r="D259" s="22" t="s">
        <v>28</v>
      </c>
      <c r="E259" s="39"/>
      <c r="F259" s="40"/>
      <c r="G259" s="40"/>
      <c r="H259" s="39"/>
      <c r="I259" s="13">
        <f t="shared" si="13"/>
        <v>0</v>
      </c>
      <c r="J259" s="13"/>
      <c r="K259" s="13"/>
      <c r="L259" s="13">
        <f t="shared" si="14"/>
        <v>0</v>
      </c>
      <c r="M259" s="13"/>
    </row>
    <row r="260" spans="1:13" s="28" customFormat="1" ht="94.5" hidden="1">
      <c r="A260" s="133"/>
      <c r="B260" s="139"/>
      <c r="C260" s="16" t="s">
        <v>29</v>
      </c>
      <c r="D260" s="23" t="s">
        <v>30</v>
      </c>
      <c r="E260" s="39"/>
      <c r="F260" s="40"/>
      <c r="G260" s="40"/>
      <c r="H260" s="39"/>
      <c r="I260" s="13">
        <f t="shared" si="13"/>
        <v>0</v>
      </c>
      <c r="J260" s="13"/>
      <c r="K260" s="13"/>
      <c r="L260" s="13">
        <f t="shared" si="14"/>
        <v>0</v>
      </c>
      <c r="M260" s="13"/>
    </row>
    <row r="261" spans="1:13" s="28" customFormat="1" ht="15.75" customHeight="1" hidden="1">
      <c r="A261" s="133"/>
      <c r="B261" s="139"/>
      <c r="C261" s="18" t="s">
        <v>35</v>
      </c>
      <c r="D261" s="20" t="s">
        <v>36</v>
      </c>
      <c r="E261" s="13">
        <f>SUM(E262:E263)</f>
        <v>0</v>
      </c>
      <c r="F261" s="13">
        <f>SUM(F262:F263)</f>
        <v>0</v>
      </c>
      <c r="G261" s="13">
        <f>SUM(G262:G263)</f>
        <v>0</v>
      </c>
      <c r="H261" s="13">
        <f>SUM(H262:H263)</f>
        <v>0</v>
      </c>
      <c r="I261" s="13">
        <f t="shared" si="13"/>
        <v>0</v>
      </c>
      <c r="J261" s="13"/>
      <c r="K261" s="13"/>
      <c r="L261" s="13">
        <f t="shared" si="14"/>
        <v>0</v>
      </c>
      <c r="M261" s="13"/>
    </row>
    <row r="262" spans="1:13" s="28" customFormat="1" ht="56.25" customHeight="1" hidden="1">
      <c r="A262" s="133"/>
      <c r="B262" s="139"/>
      <c r="C262" s="16" t="s">
        <v>37</v>
      </c>
      <c r="D262" s="24" t="s">
        <v>38</v>
      </c>
      <c r="E262" s="13"/>
      <c r="F262" s="13"/>
      <c r="G262" s="13"/>
      <c r="H262" s="13"/>
      <c r="I262" s="13">
        <f t="shared" si="13"/>
        <v>0</v>
      </c>
      <c r="J262" s="13"/>
      <c r="K262" s="13"/>
      <c r="L262" s="13">
        <f t="shared" si="14"/>
        <v>0</v>
      </c>
      <c r="M262" s="13"/>
    </row>
    <row r="263" spans="1:13" s="28" customFormat="1" ht="47.25" customHeight="1" hidden="1">
      <c r="A263" s="133"/>
      <c r="B263" s="139"/>
      <c r="C263" s="16" t="s">
        <v>39</v>
      </c>
      <c r="D263" s="21" t="s">
        <v>40</v>
      </c>
      <c r="E263" s="13"/>
      <c r="F263" s="13"/>
      <c r="G263" s="13"/>
      <c r="H263" s="13"/>
      <c r="I263" s="13">
        <f t="shared" si="13"/>
        <v>0</v>
      </c>
      <c r="J263" s="13"/>
      <c r="K263" s="13"/>
      <c r="L263" s="13">
        <f t="shared" si="14"/>
        <v>0</v>
      </c>
      <c r="M263" s="13"/>
    </row>
    <row r="264" spans="1:13" s="28" customFormat="1" ht="15.75" customHeight="1" hidden="1">
      <c r="A264" s="133"/>
      <c r="B264" s="139"/>
      <c r="C264" s="18" t="s">
        <v>41</v>
      </c>
      <c r="D264" s="20" t="s">
        <v>42</v>
      </c>
      <c r="E264" s="39"/>
      <c r="F264" s="40"/>
      <c r="G264" s="40"/>
      <c r="H264" s="39"/>
      <c r="I264" s="13">
        <f t="shared" si="13"/>
        <v>0</v>
      </c>
      <c r="J264" s="13"/>
      <c r="K264" s="13"/>
      <c r="L264" s="13">
        <f t="shared" si="14"/>
        <v>0</v>
      </c>
      <c r="M264" s="13"/>
    </row>
    <row r="265" spans="1:13" s="28" customFormat="1" ht="15.75" customHeight="1" hidden="1">
      <c r="A265" s="133"/>
      <c r="B265" s="139"/>
      <c r="C265" s="18" t="s">
        <v>43</v>
      </c>
      <c r="D265" s="20" t="s">
        <v>44</v>
      </c>
      <c r="E265" s="39"/>
      <c r="F265" s="40"/>
      <c r="G265" s="40"/>
      <c r="H265" s="39"/>
      <c r="I265" s="13">
        <f aca="true" t="shared" si="18" ref="I265:I331">H265-G265</f>
        <v>0</v>
      </c>
      <c r="J265" s="13"/>
      <c r="K265" s="13"/>
      <c r="L265" s="13">
        <f t="shared" si="14"/>
        <v>0</v>
      </c>
      <c r="M265" s="13"/>
    </row>
    <row r="266" spans="1:13" s="28" customFormat="1" ht="15.75" customHeight="1" hidden="1">
      <c r="A266" s="133"/>
      <c r="B266" s="139"/>
      <c r="C266" s="18" t="s">
        <v>45</v>
      </c>
      <c r="D266" s="20" t="s">
        <v>46</v>
      </c>
      <c r="E266" s="48"/>
      <c r="F266" s="40"/>
      <c r="G266" s="40"/>
      <c r="H266" s="39"/>
      <c r="I266" s="13">
        <f t="shared" si="18"/>
        <v>0</v>
      </c>
      <c r="J266" s="13"/>
      <c r="K266" s="13"/>
      <c r="L266" s="13">
        <f>H266-E266</f>
        <v>0</v>
      </c>
      <c r="M266" s="13">
        <f>H266/E270*100</f>
        <v>0</v>
      </c>
    </row>
    <row r="267" spans="1:13" s="28" customFormat="1" ht="16.5" customHeight="1" hidden="1">
      <c r="A267" s="133"/>
      <c r="B267" s="139"/>
      <c r="C267" s="18" t="s">
        <v>47</v>
      </c>
      <c r="D267" s="20" t="s">
        <v>48</v>
      </c>
      <c r="E267" s="39"/>
      <c r="F267" s="39">
        <v>301092</v>
      </c>
      <c r="G267" s="39"/>
      <c r="H267" s="39"/>
      <c r="I267" s="13">
        <f t="shared" si="18"/>
        <v>0</v>
      </c>
      <c r="J267" s="13"/>
      <c r="K267" s="13">
        <f>H267/F267*100</f>
        <v>0</v>
      </c>
      <c r="L267" s="13">
        <f>H267-E267</f>
        <v>0</v>
      </c>
      <c r="M267" s="13"/>
    </row>
    <row r="268" spans="1:13" s="28" customFormat="1" ht="16.5" customHeight="1" hidden="1">
      <c r="A268" s="133"/>
      <c r="B268" s="139"/>
      <c r="C268" s="18" t="s">
        <v>49</v>
      </c>
      <c r="D268" s="20" t="s">
        <v>101</v>
      </c>
      <c r="E268" s="39"/>
      <c r="F268" s="39">
        <v>95</v>
      </c>
      <c r="G268" s="39"/>
      <c r="H268" s="39"/>
      <c r="I268" s="13">
        <f t="shared" si="18"/>
        <v>0</v>
      </c>
      <c r="J268" s="13"/>
      <c r="K268" s="13">
        <f>H268/F268*100</f>
        <v>0</v>
      </c>
      <c r="L268" s="13">
        <f aca="true" t="shared" si="19" ref="L268:L334">H268-E268</f>
        <v>0</v>
      </c>
      <c r="M268" s="13"/>
    </row>
    <row r="269" spans="1:13" s="28" customFormat="1" ht="16.5" customHeight="1" hidden="1">
      <c r="A269" s="133"/>
      <c r="B269" s="139"/>
      <c r="C269" s="18" t="s">
        <v>69</v>
      </c>
      <c r="D269" s="21" t="s">
        <v>70</v>
      </c>
      <c r="E269" s="39"/>
      <c r="F269" s="39"/>
      <c r="G269" s="39"/>
      <c r="H269" s="39"/>
      <c r="I269" s="13">
        <f t="shared" si="18"/>
        <v>0</v>
      </c>
      <c r="J269" s="13"/>
      <c r="K269" s="13"/>
      <c r="L269" s="13">
        <f t="shared" si="19"/>
        <v>0</v>
      </c>
      <c r="M269" s="13" t="e">
        <f>H269/E269*100</f>
        <v>#DIV/0!</v>
      </c>
    </row>
    <row r="270" spans="1:13" s="28" customFormat="1" ht="16.5" customHeight="1" hidden="1">
      <c r="A270" s="133"/>
      <c r="B270" s="139"/>
      <c r="C270" s="18" t="s">
        <v>51</v>
      </c>
      <c r="D270" s="20" t="s">
        <v>46</v>
      </c>
      <c r="E270" s="39">
        <v>-10140</v>
      </c>
      <c r="F270" s="39"/>
      <c r="G270" s="39"/>
      <c r="H270" s="39">
        <v>-235.95</v>
      </c>
      <c r="I270" s="13">
        <f t="shared" si="18"/>
        <v>-235.95</v>
      </c>
      <c r="J270" s="13"/>
      <c r="K270" s="13"/>
      <c r="L270" s="13">
        <f t="shared" si="19"/>
        <v>9904.05</v>
      </c>
      <c r="M270" s="13">
        <f>H270/E270*100</f>
        <v>2.3269230769230766</v>
      </c>
    </row>
    <row r="271" spans="1:13" s="28" customFormat="1" ht="47.25" hidden="1">
      <c r="A271" s="133"/>
      <c r="B271" s="139"/>
      <c r="C271" s="36"/>
      <c r="D271" s="26" t="s">
        <v>56</v>
      </c>
      <c r="E271" s="40">
        <f>E272-E270</f>
        <v>0</v>
      </c>
      <c r="F271" s="40">
        <f>F272-F270</f>
        <v>301187</v>
      </c>
      <c r="G271" s="40">
        <f>G272-G270</f>
        <v>0</v>
      </c>
      <c r="H271" s="40">
        <f>H272-H270</f>
        <v>0</v>
      </c>
      <c r="I271" s="13">
        <f t="shared" si="18"/>
        <v>0</v>
      </c>
      <c r="J271" s="13"/>
      <c r="K271" s="27">
        <f>H271/F271*100</f>
        <v>0</v>
      </c>
      <c r="L271" s="13">
        <f t="shared" si="19"/>
        <v>0</v>
      </c>
      <c r="M271" s="13"/>
    </row>
    <row r="272" spans="1:13" s="33" customFormat="1" ht="15.75" hidden="1">
      <c r="A272" s="129"/>
      <c r="B272" s="140"/>
      <c r="C272" s="30"/>
      <c r="D272" s="31" t="s">
        <v>77</v>
      </c>
      <c r="E272" s="43">
        <f>SUM(E259:E261,E264:E270)</f>
        <v>-10140</v>
      </c>
      <c r="F272" s="43">
        <f>SUM(F259:F261,F264:F270)</f>
        <v>301187</v>
      </c>
      <c r="G272" s="43">
        <f>SUM(G259:G261,G264:G270)</f>
        <v>0</v>
      </c>
      <c r="H272" s="43">
        <f>SUM(H259:H261,H264:H270)</f>
        <v>-235.95</v>
      </c>
      <c r="I272" s="32">
        <f t="shared" si="18"/>
        <v>-235.95</v>
      </c>
      <c r="J272" s="32"/>
      <c r="K272" s="32">
        <f>H272/F272*100</f>
        <v>-0.07834003459644673</v>
      </c>
      <c r="L272" s="32">
        <f t="shared" si="19"/>
        <v>9904.05</v>
      </c>
      <c r="M272" s="32">
        <f>H272/E272*100</f>
        <v>2.3269230769230766</v>
      </c>
    </row>
    <row r="273" spans="1:13" ht="31.5" customHeight="1" hidden="1">
      <c r="A273" s="128" t="s">
        <v>130</v>
      </c>
      <c r="B273" s="130" t="s">
        <v>131</v>
      </c>
      <c r="C273" s="18" t="s">
        <v>27</v>
      </c>
      <c r="D273" s="22" t="s">
        <v>28</v>
      </c>
      <c r="E273" s="13">
        <v>2</v>
      </c>
      <c r="F273" s="13"/>
      <c r="G273" s="13"/>
      <c r="H273" s="13"/>
      <c r="I273" s="13">
        <f t="shared" si="18"/>
        <v>0</v>
      </c>
      <c r="J273" s="13"/>
      <c r="K273" s="13"/>
      <c r="L273" s="13">
        <f t="shared" si="19"/>
        <v>-2</v>
      </c>
      <c r="M273" s="13">
        <f>H273/E273*100</f>
        <v>0</v>
      </c>
    </row>
    <row r="274" spans="1:13" ht="15.75" hidden="1">
      <c r="A274" s="132"/>
      <c r="B274" s="134"/>
      <c r="C274" s="18" t="s">
        <v>35</v>
      </c>
      <c r="D274" s="20" t="s">
        <v>36</v>
      </c>
      <c r="E274" s="13">
        <f>SUM(E275:E276)</f>
        <v>0</v>
      </c>
      <c r="F274" s="13">
        <f>SUM(F275:F276)</f>
        <v>0</v>
      </c>
      <c r="G274" s="13">
        <f>SUM(G275:G276)</f>
        <v>0</v>
      </c>
      <c r="H274" s="13">
        <f>SUM(H275:H276)</f>
        <v>0</v>
      </c>
      <c r="I274" s="13">
        <f t="shared" si="18"/>
        <v>0</v>
      </c>
      <c r="J274" s="13"/>
      <c r="K274" s="13"/>
      <c r="L274" s="13">
        <f t="shared" si="19"/>
        <v>0</v>
      </c>
      <c r="M274" s="13"/>
    </row>
    <row r="275" spans="1:13" ht="31.5" customHeight="1" hidden="1">
      <c r="A275" s="132"/>
      <c r="B275" s="134"/>
      <c r="C275" s="16" t="s">
        <v>60</v>
      </c>
      <c r="D275" s="21" t="s">
        <v>61</v>
      </c>
      <c r="E275" s="13"/>
      <c r="F275" s="13"/>
      <c r="G275" s="13"/>
      <c r="H275" s="13"/>
      <c r="I275" s="13">
        <f t="shared" si="18"/>
        <v>0</v>
      </c>
      <c r="J275" s="13"/>
      <c r="K275" s="13"/>
      <c r="L275" s="13">
        <f t="shared" si="19"/>
        <v>0</v>
      </c>
      <c r="M275" s="13"/>
    </row>
    <row r="276" spans="1:13" ht="47.25" customHeight="1" hidden="1">
      <c r="A276" s="132"/>
      <c r="B276" s="134"/>
      <c r="C276" s="16" t="s">
        <v>39</v>
      </c>
      <c r="D276" s="21" t="s">
        <v>40</v>
      </c>
      <c r="E276" s="13"/>
      <c r="F276" s="13">
        <f>2050.9-2050.9</f>
        <v>0</v>
      </c>
      <c r="G276" s="13"/>
      <c r="H276" s="13"/>
      <c r="I276" s="13">
        <f t="shared" si="18"/>
        <v>0</v>
      </c>
      <c r="J276" s="13"/>
      <c r="K276" s="13"/>
      <c r="L276" s="13">
        <f t="shared" si="19"/>
        <v>0</v>
      </c>
      <c r="M276" s="13"/>
    </row>
    <row r="277" spans="1:13" ht="15.75" customHeight="1" hidden="1">
      <c r="A277" s="132"/>
      <c r="B277" s="134"/>
      <c r="C277" s="18" t="s">
        <v>41</v>
      </c>
      <c r="D277" s="20" t="s">
        <v>42</v>
      </c>
      <c r="E277" s="13"/>
      <c r="F277" s="13"/>
      <c r="G277" s="13"/>
      <c r="H277" s="13"/>
      <c r="I277" s="13">
        <f t="shared" si="18"/>
        <v>0</v>
      </c>
      <c r="J277" s="13"/>
      <c r="K277" s="13"/>
      <c r="L277" s="13">
        <f t="shared" si="19"/>
        <v>0</v>
      </c>
      <c r="M277" s="13"/>
    </row>
    <row r="278" spans="1:13" ht="15.75" customHeight="1" hidden="1">
      <c r="A278" s="132"/>
      <c r="B278" s="134"/>
      <c r="C278" s="18" t="s">
        <v>43</v>
      </c>
      <c r="D278" s="20" t="s">
        <v>44</v>
      </c>
      <c r="E278" s="13"/>
      <c r="F278" s="13"/>
      <c r="G278" s="13"/>
      <c r="H278" s="13"/>
      <c r="I278" s="13">
        <f t="shared" si="18"/>
        <v>0</v>
      </c>
      <c r="J278" s="13"/>
      <c r="K278" s="13"/>
      <c r="L278" s="13">
        <f t="shared" si="19"/>
        <v>0</v>
      </c>
      <c r="M278" s="13"/>
    </row>
    <row r="279" spans="1:13" ht="15.75" customHeight="1" hidden="1">
      <c r="A279" s="132"/>
      <c r="B279" s="134"/>
      <c r="C279" s="18" t="s">
        <v>45</v>
      </c>
      <c r="D279" s="20" t="s">
        <v>46</v>
      </c>
      <c r="F279" s="13"/>
      <c r="G279" s="13"/>
      <c r="H279" s="13"/>
      <c r="I279" s="13">
        <f t="shared" si="18"/>
        <v>0</v>
      </c>
      <c r="J279" s="13"/>
      <c r="K279" s="13"/>
      <c r="L279" s="13">
        <f t="shared" si="19"/>
        <v>0</v>
      </c>
      <c r="M279" s="13"/>
    </row>
    <row r="280" spans="1:13" ht="15.75" hidden="1">
      <c r="A280" s="132"/>
      <c r="B280" s="134"/>
      <c r="C280" s="18" t="s">
        <v>47</v>
      </c>
      <c r="D280" s="20" t="s">
        <v>132</v>
      </c>
      <c r="E280" s="13"/>
      <c r="F280" s="13">
        <v>764816</v>
      </c>
      <c r="G280" s="13"/>
      <c r="H280" s="13"/>
      <c r="I280" s="13">
        <f t="shared" si="18"/>
        <v>0</v>
      </c>
      <c r="J280" s="13"/>
      <c r="K280" s="13">
        <f aca="true" t="shared" si="20" ref="K280:K348">H280/F280*100</f>
        <v>0</v>
      </c>
      <c r="L280" s="13">
        <f t="shared" si="19"/>
        <v>0</v>
      </c>
      <c r="M280" s="13"/>
    </row>
    <row r="281" spans="1:13" ht="31.5" hidden="1">
      <c r="A281" s="132"/>
      <c r="B281" s="134"/>
      <c r="C281" s="18" t="s">
        <v>49</v>
      </c>
      <c r="D281" s="20" t="s">
        <v>101</v>
      </c>
      <c r="E281" s="13"/>
      <c r="F281" s="13">
        <v>25</v>
      </c>
      <c r="G281" s="13"/>
      <c r="H281" s="13"/>
      <c r="I281" s="13">
        <f t="shared" si="18"/>
        <v>0</v>
      </c>
      <c r="J281" s="13"/>
      <c r="K281" s="13">
        <f t="shared" si="20"/>
        <v>0</v>
      </c>
      <c r="L281" s="13">
        <f t="shared" si="19"/>
        <v>0</v>
      </c>
      <c r="M281" s="13"/>
    </row>
    <row r="282" spans="1:13" ht="15.75" hidden="1">
      <c r="A282" s="132"/>
      <c r="B282" s="134"/>
      <c r="C282" s="18" t="s">
        <v>51</v>
      </c>
      <c r="D282" s="20" t="s">
        <v>46</v>
      </c>
      <c r="E282" s="13">
        <v>-124064.8</v>
      </c>
      <c r="F282" s="13"/>
      <c r="G282" s="13"/>
      <c r="H282" s="13">
        <v>-77621.45</v>
      </c>
      <c r="I282" s="13">
        <f t="shared" si="18"/>
        <v>-77621.45</v>
      </c>
      <c r="J282" s="13"/>
      <c r="K282" s="13"/>
      <c r="L282" s="13">
        <f t="shared" si="19"/>
        <v>46443.350000000006</v>
      </c>
      <c r="M282" s="13">
        <f>H282/E282*100</f>
        <v>62.56524816063863</v>
      </c>
    </row>
    <row r="283" spans="1:13" s="28" customFormat="1" ht="31.5" customHeight="1" hidden="1">
      <c r="A283" s="132"/>
      <c r="B283" s="134"/>
      <c r="C283" s="36"/>
      <c r="D283" s="26" t="s">
        <v>56</v>
      </c>
      <c r="E283" s="27">
        <f>E284-E282</f>
        <v>2</v>
      </c>
      <c r="F283" s="27">
        <f>F284-F282</f>
        <v>764841</v>
      </c>
      <c r="G283" s="27">
        <f>G284-G282</f>
        <v>0</v>
      </c>
      <c r="H283" s="27">
        <f>H284-H282</f>
        <v>0</v>
      </c>
      <c r="I283" s="13">
        <f t="shared" si="18"/>
        <v>0</v>
      </c>
      <c r="J283" s="13"/>
      <c r="K283" s="27">
        <f t="shared" si="20"/>
        <v>0</v>
      </c>
      <c r="L283" s="13">
        <f t="shared" si="19"/>
        <v>-2</v>
      </c>
      <c r="M283" s="13">
        <f>H283/E283*100</f>
        <v>0</v>
      </c>
    </row>
    <row r="284" spans="1:13" s="33" customFormat="1" ht="15.75" hidden="1">
      <c r="A284" s="135"/>
      <c r="B284" s="136"/>
      <c r="C284" s="41"/>
      <c r="D284" s="31" t="s">
        <v>77</v>
      </c>
      <c r="E284" s="32">
        <f>SUM(E273:E274,E277:E282)</f>
        <v>-124062.8</v>
      </c>
      <c r="F284" s="32">
        <f>SUM(F273:F274,F277:F282)</f>
        <v>764841</v>
      </c>
      <c r="G284" s="32">
        <f>SUM(G273:G274,G277:G282)</f>
        <v>0</v>
      </c>
      <c r="H284" s="32">
        <f>SUM(H273:H274,H277:H282)</f>
        <v>-77621.45</v>
      </c>
      <c r="I284" s="32">
        <f t="shared" si="18"/>
        <v>-77621.45</v>
      </c>
      <c r="J284" s="32"/>
      <c r="K284" s="32">
        <f t="shared" si="20"/>
        <v>-10.14870410974307</v>
      </c>
      <c r="L284" s="32">
        <f t="shared" si="19"/>
        <v>46441.350000000006</v>
      </c>
      <c r="M284" s="32">
        <f>H284/E284*100</f>
        <v>62.56625676673426</v>
      </c>
    </row>
    <row r="285" spans="1:13" s="28" customFormat="1" ht="15.75" customHeight="1" hidden="1">
      <c r="A285" s="128" t="s">
        <v>133</v>
      </c>
      <c r="B285" s="130" t="s">
        <v>134</v>
      </c>
      <c r="C285" s="18" t="s">
        <v>27</v>
      </c>
      <c r="D285" s="22" t="s">
        <v>28</v>
      </c>
      <c r="E285" s="13"/>
      <c r="F285" s="13"/>
      <c r="G285" s="13"/>
      <c r="H285" s="13"/>
      <c r="I285" s="13">
        <f t="shared" si="18"/>
        <v>0</v>
      </c>
      <c r="J285" s="13"/>
      <c r="K285" s="13"/>
      <c r="L285" s="13">
        <f t="shared" si="19"/>
        <v>0</v>
      </c>
      <c r="M285" s="13"/>
    </row>
    <row r="286" spans="1:13" s="28" customFormat="1" ht="15.75" customHeight="1" hidden="1">
      <c r="A286" s="132"/>
      <c r="B286" s="134"/>
      <c r="C286" s="18" t="s">
        <v>41</v>
      </c>
      <c r="D286" s="20" t="s">
        <v>42</v>
      </c>
      <c r="E286" s="13"/>
      <c r="F286" s="13"/>
      <c r="G286" s="13"/>
      <c r="H286" s="13"/>
      <c r="I286" s="13">
        <f t="shared" si="18"/>
        <v>0</v>
      </c>
      <c r="J286" s="13"/>
      <c r="K286" s="13"/>
      <c r="L286" s="13">
        <f t="shared" si="19"/>
        <v>0</v>
      </c>
      <c r="M286" s="13"/>
    </row>
    <row r="287" spans="1:13" s="28" customFormat="1" ht="85.5" customHeight="1" hidden="1">
      <c r="A287" s="133"/>
      <c r="B287" s="133"/>
      <c r="C287" s="18" t="s">
        <v>43</v>
      </c>
      <c r="D287" s="20" t="s">
        <v>135</v>
      </c>
      <c r="E287" s="13">
        <v>7843.3</v>
      </c>
      <c r="F287" s="13">
        <v>141706.4</v>
      </c>
      <c r="G287" s="13">
        <v>11808.9</v>
      </c>
      <c r="H287" s="13">
        <v>1511.57</v>
      </c>
      <c r="I287" s="13">
        <f t="shared" si="18"/>
        <v>-10297.33</v>
      </c>
      <c r="J287" s="13">
        <f>H287/G287*100</f>
        <v>12.800260820228809</v>
      </c>
      <c r="K287" s="13">
        <f t="shared" si="20"/>
        <v>1.066691412667318</v>
      </c>
      <c r="L287" s="13">
        <f>H287-E287</f>
        <v>-6331.7300000000005</v>
      </c>
      <c r="M287" s="13">
        <f>H287/E287*100</f>
        <v>19.272117603559725</v>
      </c>
    </row>
    <row r="288" spans="1:13" s="28" customFormat="1" ht="11.25" customHeight="1" hidden="1">
      <c r="A288" s="133"/>
      <c r="B288" s="133"/>
      <c r="C288" s="18" t="s">
        <v>45</v>
      </c>
      <c r="D288" s="20" t="s">
        <v>46</v>
      </c>
      <c r="E288" s="48"/>
      <c r="F288" s="13"/>
      <c r="G288" s="13"/>
      <c r="H288" s="13"/>
      <c r="I288" s="13">
        <f t="shared" si="18"/>
        <v>0</v>
      </c>
      <c r="J288" s="13"/>
      <c r="K288" s="13"/>
      <c r="L288" s="13">
        <f>H288-E288</f>
        <v>0</v>
      </c>
      <c r="M288" s="13"/>
    </row>
    <row r="289" spans="1:13" s="28" customFormat="1" ht="15.75" customHeight="1" hidden="1">
      <c r="A289" s="133"/>
      <c r="B289" s="133"/>
      <c r="C289" s="18" t="s">
        <v>49</v>
      </c>
      <c r="D289" s="20" t="s">
        <v>101</v>
      </c>
      <c r="E289" s="13"/>
      <c r="F289" s="13">
        <v>25.7</v>
      </c>
      <c r="G289" s="13"/>
      <c r="H289" s="13"/>
      <c r="I289" s="13">
        <f t="shared" si="18"/>
        <v>0</v>
      </c>
      <c r="J289" s="13"/>
      <c r="K289" s="13">
        <f t="shared" si="20"/>
        <v>0</v>
      </c>
      <c r="L289" s="13">
        <f t="shared" si="19"/>
        <v>0</v>
      </c>
      <c r="M289" s="13"/>
    </row>
    <row r="290" spans="1:13" s="28" customFormat="1" ht="15.75" customHeight="1" hidden="1">
      <c r="A290" s="133"/>
      <c r="B290" s="133"/>
      <c r="C290" s="18" t="s">
        <v>69</v>
      </c>
      <c r="D290" s="21" t="s">
        <v>70</v>
      </c>
      <c r="E290" s="13"/>
      <c r="F290" s="13"/>
      <c r="G290" s="13"/>
      <c r="H290" s="13"/>
      <c r="I290" s="13">
        <f t="shared" si="18"/>
        <v>0</v>
      </c>
      <c r="J290" s="13"/>
      <c r="K290" s="13"/>
      <c r="L290" s="13">
        <f t="shared" si="19"/>
        <v>0</v>
      </c>
      <c r="M290" s="13"/>
    </row>
    <row r="291" spans="1:13" s="28" customFormat="1" ht="15.75" customHeight="1" hidden="1">
      <c r="A291" s="133"/>
      <c r="B291" s="133"/>
      <c r="C291" s="18" t="s">
        <v>51</v>
      </c>
      <c r="D291" s="20" t="s">
        <v>46</v>
      </c>
      <c r="E291" s="13">
        <v>-1092.6</v>
      </c>
      <c r="F291" s="13"/>
      <c r="G291" s="13"/>
      <c r="H291" s="13"/>
      <c r="I291" s="13"/>
      <c r="J291" s="13"/>
      <c r="K291" s="13"/>
      <c r="L291" s="13"/>
      <c r="M291" s="13"/>
    </row>
    <row r="292" spans="1:13" s="28" customFormat="1" ht="15.75" customHeight="1" hidden="1">
      <c r="A292" s="133"/>
      <c r="B292" s="133"/>
      <c r="C292" s="36"/>
      <c r="D292" s="26" t="s">
        <v>52</v>
      </c>
      <c r="E292" s="27">
        <f>SUM(E285:E291)</f>
        <v>6750.700000000001</v>
      </c>
      <c r="F292" s="27">
        <f>SUM(F285:F291)</f>
        <v>141732.1</v>
      </c>
      <c r="G292" s="27">
        <f>SUM(G285:G291)</f>
        <v>11808.9</v>
      </c>
      <c r="H292" s="27">
        <f>SUM(H285:H291)</f>
        <v>1511.57</v>
      </c>
      <c r="I292" s="13">
        <f t="shared" si="18"/>
        <v>-10297.33</v>
      </c>
      <c r="J292" s="13">
        <f aca="true" t="shared" si="21" ref="J292:J300">H292/G292*100</f>
        <v>12.800260820228809</v>
      </c>
      <c r="K292" s="27">
        <f t="shared" si="20"/>
        <v>1.0664979916335113</v>
      </c>
      <c r="L292" s="13">
        <f t="shared" si="19"/>
        <v>-5239.130000000001</v>
      </c>
      <c r="M292" s="13">
        <f>H292/E292*100</f>
        <v>22.391307568104047</v>
      </c>
    </row>
    <row r="293" spans="1:13" ht="15.75" customHeight="1" hidden="1">
      <c r="A293" s="133"/>
      <c r="B293" s="133"/>
      <c r="C293" s="18" t="s">
        <v>136</v>
      </c>
      <c r="D293" s="29" t="s">
        <v>137</v>
      </c>
      <c r="E293" s="13">
        <v>114299.1</v>
      </c>
      <c r="F293" s="13">
        <f>198120.2+703953.2</f>
        <v>902073.3999999999</v>
      </c>
      <c r="G293" s="13">
        <f>12876.5+10079.1</f>
        <v>22955.6</v>
      </c>
      <c r="H293" s="13">
        <f>12683.29+6586.35</f>
        <v>19269.64</v>
      </c>
      <c r="I293" s="13">
        <f t="shared" si="18"/>
        <v>-3685.959999999999</v>
      </c>
      <c r="J293" s="13">
        <f t="shared" si="21"/>
        <v>83.94309013922529</v>
      </c>
      <c r="K293" s="13">
        <f t="shared" si="20"/>
        <v>2.1361498964496684</v>
      </c>
      <c r="L293" s="13">
        <f t="shared" si="19"/>
        <v>-95029.46</v>
      </c>
      <c r="M293" s="13">
        <f aca="true" t="shared" si="22" ref="M293:M298">H293/E293*100</f>
        <v>16.858960394263818</v>
      </c>
    </row>
    <row r="294" spans="1:13" ht="15.75" hidden="1">
      <c r="A294" s="133"/>
      <c r="B294" s="133"/>
      <c r="C294" s="18" t="s">
        <v>138</v>
      </c>
      <c r="D294" s="20" t="s">
        <v>139</v>
      </c>
      <c r="E294" s="13">
        <v>2587.6</v>
      </c>
      <c r="F294" s="13">
        <v>162783.8</v>
      </c>
      <c r="G294" s="13">
        <v>2349.1</v>
      </c>
      <c r="H294" s="13">
        <v>10620.37</v>
      </c>
      <c r="I294" s="13">
        <f t="shared" si="18"/>
        <v>8271.27</v>
      </c>
      <c r="J294" s="13">
        <f t="shared" si="21"/>
        <v>452.1037844280789</v>
      </c>
      <c r="K294" s="13">
        <f t="shared" si="20"/>
        <v>6.524218011866047</v>
      </c>
      <c r="L294" s="13">
        <f t="shared" si="19"/>
        <v>8032.77</v>
      </c>
      <c r="M294" s="13">
        <f t="shared" si="22"/>
        <v>410.43321997217504</v>
      </c>
    </row>
    <row r="295" spans="1:13" ht="15.75" hidden="1">
      <c r="A295" s="133"/>
      <c r="B295" s="133"/>
      <c r="C295" s="18" t="s">
        <v>35</v>
      </c>
      <c r="D295" s="20" t="s">
        <v>36</v>
      </c>
      <c r="E295" s="13">
        <f>E296+E297</f>
        <v>3643.1</v>
      </c>
      <c r="F295" s="13">
        <f>F296+F297</f>
        <v>80770.8</v>
      </c>
      <c r="G295" s="13">
        <f>G296+G297</f>
        <v>5311.5</v>
      </c>
      <c r="H295" s="13">
        <f>H296+H297</f>
        <v>3532.81</v>
      </c>
      <c r="I295" s="13">
        <f t="shared" si="18"/>
        <v>-1778.69</v>
      </c>
      <c r="J295" s="13">
        <f t="shared" si="21"/>
        <v>66.51247293608209</v>
      </c>
      <c r="K295" s="13">
        <f t="shared" si="20"/>
        <v>4.373870260044471</v>
      </c>
      <c r="L295" s="13">
        <f t="shared" si="19"/>
        <v>-110.28999999999996</v>
      </c>
      <c r="M295" s="13">
        <f t="shared" si="22"/>
        <v>96.97263319700255</v>
      </c>
    </row>
    <row r="296" spans="1:13" s="28" customFormat="1" ht="31.5" customHeight="1" hidden="1">
      <c r="A296" s="133"/>
      <c r="B296" s="133"/>
      <c r="C296" s="16" t="s">
        <v>140</v>
      </c>
      <c r="D296" s="21" t="s">
        <v>141</v>
      </c>
      <c r="E296" s="13">
        <v>3632.7</v>
      </c>
      <c r="F296" s="13">
        <v>80638.8</v>
      </c>
      <c r="G296" s="13">
        <v>5300.5</v>
      </c>
      <c r="H296" s="13">
        <v>3496.81</v>
      </c>
      <c r="I296" s="13">
        <f t="shared" si="18"/>
        <v>-1803.69</v>
      </c>
      <c r="J296" s="13">
        <f t="shared" si="21"/>
        <v>65.97132346005094</v>
      </c>
      <c r="K296" s="13">
        <f t="shared" si="20"/>
        <v>4.336386454163504</v>
      </c>
      <c r="L296" s="13">
        <f t="shared" si="19"/>
        <v>-135.88999999999987</v>
      </c>
      <c r="M296" s="13">
        <f t="shared" si="22"/>
        <v>96.25925620062213</v>
      </c>
    </row>
    <row r="297" spans="1:13" s="28" customFormat="1" ht="31.5" customHeight="1" hidden="1">
      <c r="A297" s="133"/>
      <c r="B297" s="133"/>
      <c r="C297" s="16" t="s">
        <v>39</v>
      </c>
      <c r="D297" s="21" t="s">
        <v>40</v>
      </c>
      <c r="E297" s="13">
        <v>10.4</v>
      </c>
      <c r="F297" s="13">
        <v>132</v>
      </c>
      <c r="G297" s="13">
        <v>11</v>
      </c>
      <c r="H297" s="13">
        <v>36</v>
      </c>
      <c r="I297" s="13">
        <f t="shared" si="18"/>
        <v>25</v>
      </c>
      <c r="J297" s="13">
        <f t="shared" si="21"/>
        <v>327.2727272727273</v>
      </c>
      <c r="K297" s="13">
        <f t="shared" si="20"/>
        <v>27.27272727272727</v>
      </c>
      <c r="L297" s="13">
        <f t="shared" si="19"/>
        <v>25.6</v>
      </c>
      <c r="M297" s="13">
        <f t="shared" si="22"/>
        <v>346.15384615384613</v>
      </c>
    </row>
    <row r="298" spans="1:13" s="28" customFormat="1" ht="15.75" customHeight="1" hidden="1">
      <c r="A298" s="133"/>
      <c r="B298" s="133"/>
      <c r="C298" s="36"/>
      <c r="D298" s="26" t="s">
        <v>55</v>
      </c>
      <c r="E298" s="27">
        <f>SUM(E293:E295)</f>
        <v>120529.80000000002</v>
      </c>
      <c r="F298" s="27">
        <f>SUM(F293:F295)</f>
        <v>1145628</v>
      </c>
      <c r="G298" s="27">
        <f>SUM(G293:G295)</f>
        <v>30616.199999999997</v>
      </c>
      <c r="H298" s="27">
        <f>SUM(H293:H295)</f>
        <v>33422.82</v>
      </c>
      <c r="I298" s="13">
        <f t="shared" si="18"/>
        <v>2806.6200000000026</v>
      </c>
      <c r="J298" s="13">
        <f t="shared" si="21"/>
        <v>109.16710760969683</v>
      </c>
      <c r="K298" s="27">
        <f t="shared" si="20"/>
        <v>2.917423456828918</v>
      </c>
      <c r="L298" s="13">
        <f t="shared" si="19"/>
        <v>-87106.98000000001</v>
      </c>
      <c r="M298" s="13">
        <f t="shared" si="22"/>
        <v>27.729922392636507</v>
      </c>
    </row>
    <row r="299" spans="1:13" s="28" customFormat="1" ht="31.5" customHeight="1" hidden="1">
      <c r="A299" s="133"/>
      <c r="B299" s="133"/>
      <c r="C299" s="36"/>
      <c r="D299" s="26" t="s">
        <v>56</v>
      </c>
      <c r="E299" s="27">
        <f>E300-E291</f>
        <v>128373.10000000002</v>
      </c>
      <c r="F299" s="27">
        <f>F300-F291</f>
        <v>1287360.1</v>
      </c>
      <c r="G299" s="27">
        <f>G300-G291</f>
        <v>42425.1</v>
      </c>
      <c r="H299" s="27">
        <f>H300-H291</f>
        <v>34934.39</v>
      </c>
      <c r="I299" s="13">
        <f t="shared" si="18"/>
        <v>-7490.709999999999</v>
      </c>
      <c r="J299" s="13">
        <f t="shared" si="21"/>
        <v>82.34368333840109</v>
      </c>
      <c r="K299" s="27">
        <f t="shared" si="20"/>
        <v>2.7136455448634766</v>
      </c>
      <c r="L299" s="13">
        <f t="shared" si="19"/>
        <v>-93438.71000000002</v>
      </c>
      <c r="M299" s="13">
        <f>H299/E299*100</f>
        <v>27.213170048865372</v>
      </c>
    </row>
    <row r="300" spans="1:13" s="33" customFormat="1" ht="15.75" hidden="1">
      <c r="A300" s="129"/>
      <c r="B300" s="129"/>
      <c r="C300" s="41"/>
      <c r="D300" s="31" t="s">
        <v>77</v>
      </c>
      <c r="E300" s="32">
        <f>E292+E298</f>
        <v>127280.50000000001</v>
      </c>
      <c r="F300" s="32">
        <f>F292+F298</f>
        <v>1287360.1</v>
      </c>
      <c r="G300" s="32">
        <f>G292+G298</f>
        <v>42425.1</v>
      </c>
      <c r="H300" s="32">
        <f>H292+H298</f>
        <v>34934.39</v>
      </c>
      <c r="I300" s="32">
        <f t="shared" si="18"/>
        <v>-7490.709999999999</v>
      </c>
      <c r="J300" s="32">
        <f t="shared" si="21"/>
        <v>82.34368333840109</v>
      </c>
      <c r="K300" s="32">
        <f t="shared" si="20"/>
        <v>2.7136455448634766</v>
      </c>
      <c r="L300" s="32">
        <f t="shared" si="19"/>
        <v>-92346.11000000002</v>
      </c>
      <c r="M300" s="32">
        <f>H300/E300*100</f>
        <v>27.446773072073093</v>
      </c>
    </row>
    <row r="301" spans="1:13" s="28" customFormat="1" ht="15.75" customHeight="1" hidden="1">
      <c r="A301" s="128" t="s">
        <v>142</v>
      </c>
      <c r="B301" s="130" t="s">
        <v>143</v>
      </c>
      <c r="C301" s="18" t="s">
        <v>27</v>
      </c>
      <c r="D301" s="22" t="s">
        <v>28</v>
      </c>
      <c r="E301" s="13"/>
      <c r="F301" s="27"/>
      <c r="G301" s="27"/>
      <c r="H301" s="13"/>
      <c r="I301" s="13">
        <f t="shared" si="18"/>
        <v>0</v>
      </c>
      <c r="J301" s="13"/>
      <c r="K301" s="13"/>
      <c r="L301" s="13">
        <f t="shared" si="19"/>
        <v>0</v>
      </c>
      <c r="M301" s="13"/>
    </row>
    <row r="302" spans="1:13" s="28" customFormat="1" ht="15.75" customHeight="1" hidden="1">
      <c r="A302" s="132"/>
      <c r="B302" s="134"/>
      <c r="C302" s="18" t="s">
        <v>41</v>
      </c>
      <c r="D302" s="20" t="s">
        <v>42</v>
      </c>
      <c r="E302" s="13"/>
      <c r="F302" s="27"/>
      <c r="G302" s="27"/>
      <c r="H302" s="13"/>
      <c r="I302" s="13">
        <f t="shared" si="18"/>
        <v>0</v>
      </c>
      <c r="J302" s="13"/>
      <c r="K302" s="13"/>
      <c r="L302" s="13">
        <f t="shared" si="19"/>
        <v>0</v>
      </c>
      <c r="M302" s="13"/>
    </row>
    <row r="303" spans="1:13" s="28" customFormat="1" ht="15.75" customHeight="1" hidden="1">
      <c r="A303" s="132"/>
      <c r="B303" s="134"/>
      <c r="C303" s="18" t="s">
        <v>45</v>
      </c>
      <c r="D303" s="20" t="s">
        <v>46</v>
      </c>
      <c r="E303" s="13"/>
      <c r="F303" s="13"/>
      <c r="G303" s="13"/>
      <c r="H303" s="13"/>
      <c r="I303" s="13">
        <f t="shared" si="18"/>
        <v>0</v>
      </c>
      <c r="J303" s="13"/>
      <c r="K303" s="13"/>
      <c r="L303" s="13">
        <f t="shared" si="19"/>
        <v>0</v>
      </c>
      <c r="M303" s="13"/>
    </row>
    <row r="304" spans="1:13" s="28" customFormat="1" ht="15.75" customHeight="1" hidden="1">
      <c r="A304" s="132"/>
      <c r="B304" s="134"/>
      <c r="C304" s="18" t="s">
        <v>69</v>
      </c>
      <c r="D304" s="21" t="s">
        <v>70</v>
      </c>
      <c r="E304" s="13"/>
      <c r="F304" s="13"/>
      <c r="G304" s="13"/>
      <c r="H304" s="13"/>
      <c r="I304" s="13">
        <f t="shared" si="18"/>
        <v>0</v>
      </c>
      <c r="J304" s="13"/>
      <c r="K304" s="13"/>
      <c r="L304" s="13">
        <f t="shared" si="19"/>
        <v>0</v>
      </c>
      <c r="M304" s="13"/>
    </row>
    <row r="305" spans="1:13" s="28" customFormat="1" ht="15.75" customHeight="1" hidden="1">
      <c r="A305" s="132"/>
      <c r="B305" s="134"/>
      <c r="C305" s="18" t="s">
        <v>45</v>
      </c>
      <c r="D305" s="20" t="s">
        <v>46</v>
      </c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s="28" customFormat="1" ht="15.75" customHeight="1" hidden="1">
      <c r="A306" s="133"/>
      <c r="B306" s="133"/>
      <c r="C306" s="36"/>
      <c r="D306" s="26" t="s">
        <v>52</v>
      </c>
      <c r="E306" s="27">
        <f>E301+E303+E304+E305</f>
        <v>0</v>
      </c>
      <c r="F306" s="27">
        <f>F301+F303+F304+F305</f>
        <v>0</v>
      </c>
      <c r="G306" s="27">
        <f>G301+G303+G304+G305</f>
        <v>0</v>
      </c>
      <c r="H306" s="27">
        <f>H301+H303+H304+H305</f>
        <v>0</v>
      </c>
      <c r="I306" s="13">
        <f t="shared" si="18"/>
        <v>0</v>
      </c>
      <c r="J306" s="13"/>
      <c r="K306" s="27"/>
      <c r="L306" s="13">
        <f t="shared" si="19"/>
        <v>0</v>
      </c>
      <c r="M306" s="13"/>
    </row>
    <row r="307" spans="1:13" ht="15.75" customHeight="1" hidden="1">
      <c r="A307" s="133"/>
      <c r="B307" s="133"/>
      <c r="C307" s="18" t="s">
        <v>144</v>
      </c>
      <c r="D307" s="20" t="s">
        <v>145</v>
      </c>
      <c r="E307" s="13">
        <v>339147.9</v>
      </c>
      <c r="F307" s="49">
        <f>153835.9+458.3+6490621.1+117011.9+6050.2+14629.9+268.8</f>
        <v>6782876.100000001</v>
      </c>
      <c r="G307" s="13">
        <f>6962.4+107.8+369189+9204.2+138.8+561.9+74.4</f>
        <v>386238.50000000006</v>
      </c>
      <c r="H307" s="13">
        <f>10813.86+8.84+406885.52+8950.82+606.69+1494.87+0.37+46.22</f>
        <v>428807.19</v>
      </c>
      <c r="I307" s="13">
        <f t="shared" si="18"/>
        <v>42568.689999999944</v>
      </c>
      <c r="J307" s="13">
        <f>H307/G307*100</f>
        <v>111.0213482084256</v>
      </c>
      <c r="K307" s="13">
        <f t="shared" si="20"/>
        <v>6.321908047236775</v>
      </c>
      <c r="L307" s="13">
        <f t="shared" si="19"/>
        <v>89659.28999999998</v>
      </c>
      <c r="M307" s="13">
        <f>H307/E307*100</f>
        <v>126.43663428256522</v>
      </c>
    </row>
    <row r="308" spans="1:13" ht="15.75" hidden="1">
      <c r="A308" s="133"/>
      <c r="B308" s="133"/>
      <c r="C308" s="18" t="s">
        <v>146</v>
      </c>
      <c r="D308" s="20" t="s">
        <v>147</v>
      </c>
      <c r="E308" s="13">
        <v>81649.7</v>
      </c>
      <c r="F308" s="13">
        <v>483544</v>
      </c>
      <c r="G308" s="13">
        <v>91148</v>
      </c>
      <c r="H308" s="13">
        <f>2324.68+58497.06</f>
        <v>60821.74</v>
      </c>
      <c r="I308" s="13">
        <f t="shared" si="18"/>
        <v>-30326.260000000002</v>
      </c>
      <c r="J308" s="13">
        <f>H308/G308*100</f>
        <v>66.7285513670075</v>
      </c>
      <c r="K308" s="13">
        <f t="shared" si="20"/>
        <v>12.57832586072829</v>
      </c>
      <c r="L308" s="13">
        <f t="shared" si="19"/>
        <v>-20827.96</v>
      </c>
      <c r="M308" s="13">
        <f>H308/E308*100</f>
        <v>74.49107590107495</v>
      </c>
    </row>
    <row r="309" spans="1:13" ht="31.5" customHeight="1" hidden="1">
      <c r="A309" s="133"/>
      <c r="B309" s="133"/>
      <c r="C309" s="18" t="s">
        <v>27</v>
      </c>
      <c r="D309" s="22" t="s">
        <v>28</v>
      </c>
      <c r="E309" s="13"/>
      <c r="F309" s="13"/>
      <c r="G309" s="13"/>
      <c r="H309" s="13"/>
      <c r="I309" s="13">
        <f t="shared" si="18"/>
        <v>0</v>
      </c>
      <c r="J309" s="13"/>
      <c r="K309" s="13"/>
      <c r="L309" s="13">
        <f t="shared" si="19"/>
        <v>0</v>
      </c>
      <c r="M309" s="13"/>
    </row>
    <row r="310" spans="1:13" ht="15.75" customHeight="1" hidden="1">
      <c r="A310" s="133"/>
      <c r="B310" s="133"/>
      <c r="C310" s="18" t="s">
        <v>35</v>
      </c>
      <c r="D310" s="20" t="s">
        <v>36</v>
      </c>
      <c r="E310" s="13">
        <f>E311+E312+E313</f>
        <v>174.5</v>
      </c>
      <c r="F310" s="13">
        <f>F311+F312+F313</f>
        <v>4346</v>
      </c>
      <c r="G310" s="13">
        <f>G311+G312+G313</f>
        <v>199.89999999999998</v>
      </c>
      <c r="H310" s="13">
        <f>H311+H312+H313</f>
        <v>259.75</v>
      </c>
      <c r="I310" s="13">
        <f t="shared" si="18"/>
        <v>59.85000000000002</v>
      </c>
      <c r="J310" s="13">
        <f>H310/G310*100</f>
        <v>129.9399699849925</v>
      </c>
      <c r="K310" s="13">
        <f t="shared" si="20"/>
        <v>5.976760239300506</v>
      </c>
      <c r="L310" s="13">
        <f t="shared" si="19"/>
        <v>85.25</v>
      </c>
      <c r="M310" s="13">
        <f>H310/E310*100</f>
        <v>148.85386819484242</v>
      </c>
    </row>
    <row r="311" spans="1:13" ht="78.75" customHeight="1" hidden="1">
      <c r="A311" s="133"/>
      <c r="B311" s="133"/>
      <c r="C311" s="16" t="s">
        <v>148</v>
      </c>
      <c r="D311" s="21" t="s">
        <v>149</v>
      </c>
      <c r="E311" s="13">
        <v>81.2</v>
      </c>
      <c r="F311" s="13">
        <v>2000</v>
      </c>
      <c r="G311" s="13">
        <v>75.7</v>
      </c>
      <c r="H311" s="13">
        <v>149.77</v>
      </c>
      <c r="I311" s="13">
        <f t="shared" si="18"/>
        <v>74.07000000000001</v>
      </c>
      <c r="J311" s="13">
        <f>H311/G311*100</f>
        <v>197.84676354029062</v>
      </c>
      <c r="K311" s="13">
        <f t="shared" si="20"/>
        <v>7.488500000000001</v>
      </c>
      <c r="L311" s="13">
        <f t="shared" si="19"/>
        <v>68.57000000000001</v>
      </c>
      <c r="M311" s="13">
        <f>H311/E311*100</f>
        <v>184.44581280788177</v>
      </c>
    </row>
    <row r="312" spans="1:13" ht="63" customHeight="1" hidden="1">
      <c r="A312" s="133"/>
      <c r="B312" s="133"/>
      <c r="C312" s="16" t="s">
        <v>150</v>
      </c>
      <c r="D312" s="21" t="s">
        <v>151</v>
      </c>
      <c r="E312" s="13">
        <v>32.8</v>
      </c>
      <c r="F312" s="13">
        <v>1000</v>
      </c>
      <c r="G312" s="13">
        <v>61</v>
      </c>
      <c r="H312" s="13">
        <v>32.88</v>
      </c>
      <c r="I312" s="13">
        <f t="shared" si="18"/>
        <v>-28.119999999999997</v>
      </c>
      <c r="J312" s="13">
        <f>H312/G312*100</f>
        <v>53.9016393442623</v>
      </c>
      <c r="K312" s="13">
        <f t="shared" si="20"/>
        <v>3.288</v>
      </c>
      <c r="L312" s="13">
        <f t="shared" si="19"/>
        <v>0.0800000000000054</v>
      </c>
      <c r="M312" s="13">
        <f>H312/E312*100</f>
        <v>100.24390243902441</v>
      </c>
    </row>
    <row r="313" spans="1:13" ht="47.25" customHeight="1" hidden="1">
      <c r="A313" s="133"/>
      <c r="B313" s="133"/>
      <c r="C313" s="16" t="s">
        <v>39</v>
      </c>
      <c r="D313" s="21" t="s">
        <v>40</v>
      </c>
      <c r="E313" s="13">
        <v>60.5</v>
      </c>
      <c r="F313" s="13">
        <v>1346</v>
      </c>
      <c r="G313" s="13">
        <v>63.2</v>
      </c>
      <c r="H313" s="13">
        <v>77.1</v>
      </c>
      <c r="I313" s="13">
        <f t="shared" si="18"/>
        <v>13.899999999999991</v>
      </c>
      <c r="J313" s="13">
        <f>H313/G313*100</f>
        <v>121.99367088607593</v>
      </c>
      <c r="K313" s="13">
        <f t="shared" si="20"/>
        <v>5.728083209509658</v>
      </c>
      <c r="L313" s="13">
        <f t="shared" si="19"/>
        <v>16.599999999999994</v>
      </c>
      <c r="M313" s="13">
        <f>H313/E313*100</f>
        <v>127.43801652892562</v>
      </c>
    </row>
    <row r="314" spans="1:13" ht="15.75" hidden="1">
      <c r="A314" s="133"/>
      <c r="B314" s="133"/>
      <c r="C314" s="18" t="s">
        <v>45</v>
      </c>
      <c r="D314" s="20" t="s">
        <v>46</v>
      </c>
      <c r="E314" s="50"/>
      <c r="F314" s="13"/>
      <c r="G314" s="13"/>
      <c r="H314" s="13"/>
      <c r="I314" s="13">
        <f t="shared" si="18"/>
        <v>0</v>
      </c>
      <c r="J314" s="13"/>
      <c r="K314" s="13"/>
      <c r="L314" s="13">
        <f t="shared" si="19"/>
        <v>0</v>
      </c>
      <c r="M314" s="13"/>
    </row>
    <row r="315" spans="1:13" ht="15.75" hidden="1">
      <c r="A315" s="133"/>
      <c r="B315" s="133"/>
      <c r="C315" s="18" t="s">
        <v>51</v>
      </c>
      <c r="D315" s="20" t="s">
        <v>46</v>
      </c>
      <c r="E315" s="13">
        <v>-674.2</v>
      </c>
      <c r="F315" s="13"/>
      <c r="G315" s="13"/>
      <c r="H315" s="13"/>
      <c r="I315" s="13"/>
      <c r="J315" s="13"/>
      <c r="K315" s="13"/>
      <c r="L315" s="13">
        <f t="shared" si="19"/>
        <v>674.2</v>
      </c>
      <c r="M315" s="13">
        <f>H315/E315*100</f>
        <v>0</v>
      </c>
    </row>
    <row r="316" spans="1:13" s="28" customFormat="1" ht="15.75" hidden="1">
      <c r="A316" s="133"/>
      <c r="B316" s="133"/>
      <c r="C316" s="51"/>
      <c r="D316" s="26" t="s">
        <v>55</v>
      </c>
      <c r="E316" s="27">
        <f>E307+E308+E309+E310+E315</f>
        <v>420297.9</v>
      </c>
      <c r="F316" s="27">
        <f>F307+F308+F309+F310+F315</f>
        <v>7270766.100000001</v>
      </c>
      <c r="G316" s="27">
        <f>G307+G308+G309+G310+G315</f>
        <v>477586.4000000001</v>
      </c>
      <c r="H316" s="27">
        <f>H307+H308+H309+H310+H315</f>
        <v>489888.68</v>
      </c>
      <c r="I316" s="13">
        <f t="shared" si="18"/>
        <v>12302.279999999912</v>
      </c>
      <c r="J316" s="13">
        <f>H316/G316*100</f>
        <v>102.57592762272961</v>
      </c>
      <c r="K316" s="27">
        <f t="shared" si="20"/>
        <v>6.737786269867765</v>
      </c>
      <c r="L316" s="13">
        <f t="shared" si="19"/>
        <v>69590.77999999997</v>
      </c>
      <c r="M316" s="13">
        <f>H316/E316*100</f>
        <v>116.55748934267814</v>
      </c>
    </row>
    <row r="317" spans="1:13" s="28" customFormat="1" ht="47.25" hidden="1">
      <c r="A317" s="133"/>
      <c r="B317" s="133"/>
      <c r="C317" s="51"/>
      <c r="D317" s="26" t="s">
        <v>56</v>
      </c>
      <c r="E317" s="27">
        <f>E306+E316-E315</f>
        <v>420972.10000000003</v>
      </c>
      <c r="F317" s="27">
        <f>F306+F316-F315</f>
        <v>7270766.100000001</v>
      </c>
      <c r="G317" s="27">
        <f>G306+G316-G315</f>
        <v>477586.4000000001</v>
      </c>
      <c r="H317" s="27">
        <f>H306+H316-H315</f>
        <v>489888.68</v>
      </c>
      <c r="I317" s="13">
        <f t="shared" si="18"/>
        <v>12302.279999999912</v>
      </c>
      <c r="J317" s="13">
        <f>H317/G317*100</f>
        <v>102.57592762272961</v>
      </c>
      <c r="K317" s="27">
        <f t="shared" si="20"/>
        <v>6.737786269867765</v>
      </c>
      <c r="L317" s="13">
        <f t="shared" si="19"/>
        <v>68916.57999999996</v>
      </c>
      <c r="M317" s="13">
        <f>H317/E317*100</f>
        <v>116.37081887374482</v>
      </c>
    </row>
    <row r="318" spans="1:13" s="33" customFormat="1" ht="15.75" hidden="1">
      <c r="A318" s="129"/>
      <c r="B318" s="129"/>
      <c r="C318" s="41"/>
      <c r="D318" s="31" t="s">
        <v>77</v>
      </c>
      <c r="E318" s="32">
        <f>E306+E316</f>
        <v>420297.9</v>
      </c>
      <c r="F318" s="32">
        <f>F306+F316</f>
        <v>7270766.100000001</v>
      </c>
      <c r="G318" s="32">
        <f>G306+G316</f>
        <v>477586.4000000001</v>
      </c>
      <c r="H318" s="32">
        <f>H306+H316</f>
        <v>489888.68</v>
      </c>
      <c r="I318" s="32">
        <f t="shared" si="18"/>
        <v>12302.279999999912</v>
      </c>
      <c r="J318" s="32">
        <f>H318/G318*100</f>
        <v>102.57592762272961</v>
      </c>
      <c r="K318" s="32">
        <f t="shared" si="20"/>
        <v>6.737786269867765</v>
      </c>
      <c r="L318" s="32">
        <f t="shared" si="19"/>
        <v>69590.77999999997</v>
      </c>
      <c r="M318" s="32">
        <f>H318/E318*100</f>
        <v>116.55748934267814</v>
      </c>
    </row>
    <row r="319" spans="1:13" s="28" customFormat="1" ht="40.5" customHeight="1" hidden="1">
      <c r="A319" s="130">
        <v>955</v>
      </c>
      <c r="B319" s="130" t="s">
        <v>152</v>
      </c>
      <c r="C319" s="18" t="s">
        <v>27</v>
      </c>
      <c r="D319" s="22" t="s">
        <v>28</v>
      </c>
      <c r="E319" s="13">
        <v>9.7</v>
      </c>
      <c r="F319" s="27"/>
      <c r="G319" s="27"/>
      <c r="H319" s="13">
        <v>158.49</v>
      </c>
      <c r="I319" s="13">
        <f t="shared" si="18"/>
        <v>158.49</v>
      </c>
      <c r="J319" s="13"/>
      <c r="K319" s="13"/>
      <c r="L319" s="13">
        <f t="shared" si="19"/>
        <v>148.79000000000002</v>
      </c>
      <c r="M319" s="13">
        <f>H319/E319*100</f>
        <v>1633.9175257731958</v>
      </c>
    </row>
    <row r="320" spans="1:13" s="28" customFormat="1" ht="15.75" hidden="1">
      <c r="A320" s="133"/>
      <c r="B320" s="133"/>
      <c r="C320" s="18" t="s">
        <v>41</v>
      </c>
      <c r="D320" s="20" t="s">
        <v>42</v>
      </c>
      <c r="E320" s="13"/>
      <c r="F320" s="27"/>
      <c r="G320" s="27"/>
      <c r="H320" s="13"/>
      <c r="I320" s="13">
        <f t="shared" si="18"/>
        <v>0</v>
      </c>
      <c r="J320" s="13"/>
      <c r="K320" s="13"/>
      <c r="L320" s="13">
        <f t="shared" si="19"/>
        <v>0</v>
      </c>
      <c r="M320" s="13" t="e">
        <f aca="true" t="shared" si="23" ref="M320:M326">H320/E320*100</f>
        <v>#DIV/0!</v>
      </c>
    </row>
    <row r="321" spans="1:13" ht="15.75" customHeight="1" hidden="1">
      <c r="A321" s="133"/>
      <c r="B321" s="133"/>
      <c r="C321" s="18" t="s">
        <v>45</v>
      </c>
      <c r="D321" s="20" t="s">
        <v>46</v>
      </c>
      <c r="F321" s="39"/>
      <c r="G321" s="39"/>
      <c r="H321" s="39"/>
      <c r="I321" s="13">
        <f t="shared" si="18"/>
        <v>0</v>
      </c>
      <c r="J321" s="13"/>
      <c r="K321" s="13"/>
      <c r="L321" s="13">
        <f t="shared" si="19"/>
        <v>0</v>
      </c>
      <c r="M321" s="13"/>
    </row>
    <row r="322" spans="1:13" ht="15.75" customHeight="1" hidden="1">
      <c r="A322" s="133"/>
      <c r="B322" s="133"/>
      <c r="C322" s="18" t="s">
        <v>47</v>
      </c>
      <c r="D322" s="20" t="s">
        <v>132</v>
      </c>
      <c r="E322" s="39"/>
      <c r="F322" s="39"/>
      <c r="G322" s="39"/>
      <c r="H322" s="39"/>
      <c r="I322" s="13">
        <f t="shared" si="18"/>
        <v>0</v>
      </c>
      <c r="J322" s="13"/>
      <c r="K322" s="13"/>
      <c r="L322" s="13">
        <f t="shared" si="19"/>
        <v>0</v>
      </c>
      <c r="M322" s="13"/>
    </row>
    <row r="323" spans="1:13" ht="31.5" hidden="1">
      <c r="A323" s="133"/>
      <c r="B323" s="133"/>
      <c r="C323" s="18" t="s">
        <v>49</v>
      </c>
      <c r="D323" s="20" t="s">
        <v>101</v>
      </c>
      <c r="E323" s="39"/>
      <c r="F323" s="39">
        <v>56107.6</v>
      </c>
      <c r="G323" s="39"/>
      <c r="H323" s="39"/>
      <c r="I323" s="13">
        <f t="shared" si="18"/>
        <v>0</v>
      </c>
      <c r="J323" s="13"/>
      <c r="K323" s="13"/>
      <c r="L323" s="13">
        <f t="shared" si="19"/>
        <v>0</v>
      </c>
      <c r="M323" s="13"/>
    </row>
    <row r="324" spans="1:13" ht="15.75" hidden="1">
      <c r="A324" s="133"/>
      <c r="B324" s="133"/>
      <c r="C324" s="18" t="s">
        <v>69</v>
      </c>
      <c r="D324" s="21" t="s">
        <v>70</v>
      </c>
      <c r="E324" s="39"/>
      <c r="F324" s="39"/>
      <c r="G324" s="39"/>
      <c r="H324" s="39"/>
      <c r="I324" s="13">
        <f t="shared" si="18"/>
        <v>0</v>
      </c>
      <c r="J324" s="13"/>
      <c r="K324" s="13"/>
      <c r="L324" s="13">
        <f t="shared" si="19"/>
        <v>0</v>
      </c>
      <c r="M324" s="13"/>
    </row>
    <row r="325" spans="1:13" ht="15.75" hidden="1">
      <c r="A325" s="133"/>
      <c r="B325" s="133"/>
      <c r="C325" s="18" t="s">
        <v>51</v>
      </c>
      <c r="D325" s="20" t="s">
        <v>46</v>
      </c>
      <c r="E325" s="39">
        <v>-3188.5</v>
      </c>
      <c r="F325" s="39"/>
      <c r="G325" s="39"/>
      <c r="H325" s="39">
        <v>-3915.72</v>
      </c>
      <c r="I325" s="13">
        <f t="shared" si="18"/>
        <v>-3915.72</v>
      </c>
      <c r="J325" s="13"/>
      <c r="K325" s="13"/>
      <c r="L325" s="13">
        <f t="shared" si="19"/>
        <v>-727.2199999999998</v>
      </c>
      <c r="M325" s="13">
        <f t="shared" si="23"/>
        <v>122.80758977575661</v>
      </c>
    </row>
    <row r="326" spans="1:13" s="28" customFormat="1" ht="31.5" customHeight="1" hidden="1">
      <c r="A326" s="133"/>
      <c r="B326" s="133"/>
      <c r="C326" s="36"/>
      <c r="D326" s="26" t="s">
        <v>56</v>
      </c>
      <c r="E326" s="40">
        <f>E327-E325</f>
        <v>9.699999999999818</v>
      </c>
      <c r="F326" s="40">
        <f>F327-F325</f>
        <v>56107.6</v>
      </c>
      <c r="G326" s="40">
        <f>G327-G325</f>
        <v>0</v>
      </c>
      <c r="H326" s="40">
        <f>H327-H325</f>
        <v>158.49000000000024</v>
      </c>
      <c r="I326" s="13">
        <f t="shared" si="18"/>
        <v>158.49000000000024</v>
      </c>
      <c r="J326" s="13"/>
      <c r="K326" s="27">
        <f t="shared" si="20"/>
        <v>0.2824751014122868</v>
      </c>
      <c r="L326" s="13">
        <f t="shared" si="19"/>
        <v>148.79000000000042</v>
      </c>
      <c r="M326" s="13">
        <f t="shared" si="23"/>
        <v>1633.917525773229</v>
      </c>
    </row>
    <row r="327" spans="1:13" s="33" customFormat="1" ht="15.75" hidden="1">
      <c r="A327" s="129"/>
      <c r="B327" s="129"/>
      <c r="C327" s="30"/>
      <c r="D327" s="31" t="s">
        <v>77</v>
      </c>
      <c r="E327" s="43">
        <f>SUM(E319:E325)</f>
        <v>-3178.8</v>
      </c>
      <c r="F327" s="43">
        <f>SUM(F319:F325)</f>
        <v>56107.6</v>
      </c>
      <c r="G327" s="43">
        <f>SUM(G319:G325)</f>
        <v>0</v>
      </c>
      <c r="H327" s="43">
        <f>SUM(H319:H325)</f>
        <v>-3757.2299999999996</v>
      </c>
      <c r="I327" s="32">
        <f t="shared" si="18"/>
        <v>-3757.2299999999996</v>
      </c>
      <c r="J327" s="32"/>
      <c r="K327" s="32">
        <f t="shared" si="20"/>
        <v>-6.696472492140101</v>
      </c>
      <c r="L327" s="32">
        <f t="shared" si="19"/>
        <v>-578.4299999999994</v>
      </c>
      <c r="M327" s="32">
        <f>H327/E327*100</f>
        <v>118.19648924122308</v>
      </c>
    </row>
    <row r="328" spans="1:13" s="28" customFormat="1" ht="31.5" customHeight="1" hidden="1">
      <c r="A328" s="128" t="s">
        <v>153</v>
      </c>
      <c r="B328" s="130" t="s">
        <v>154</v>
      </c>
      <c r="C328" s="18" t="s">
        <v>27</v>
      </c>
      <c r="D328" s="22" t="s">
        <v>28</v>
      </c>
      <c r="E328" s="39">
        <v>60</v>
      </c>
      <c r="F328" s="40"/>
      <c r="G328" s="40"/>
      <c r="H328" s="39"/>
      <c r="I328" s="13">
        <f t="shared" si="18"/>
        <v>0</v>
      </c>
      <c r="J328" s="13"/>
      <c r="K328" s="13"/>
      <c r="L328" s="13">
        <f t="shared" si="19"/>
        <v>-60</v>
      </c>
      <c r="M328" s="13"/>
    </row>
    <row r="329" spans="1:13" s="28" customFormat="1" ht="94.5" hidden="1">
      <c r="A329" s="132"/>
      <c r="B329" s="134"/>
      <c r="C329" s="16" t="s">
        <v>29</v>
      </c>
      <c r="D329" s="23" t="s">
        <v>30</v>
      </c>
      <c r="E329" s="39"/>
      <c r="F329" s="40"/>
      <c r="G329" s="40"/>
      <c r="H329" s="39"/>
      <c r="I329" s="13">
        <f t="shared" si="18"/>
        <v>0</v>
      </c>
      <c r="J329" s="13"/>
      <c r="K329" s="13"/>
      <c r="L329" s="13">
        <f t="shared" si="19"/>
        <v>0</v>
      </c>
      <c r="M329" s="13"/>
    </row>
    <row r="330" spans="1:13" ht="15.75" customHeight="1" hidden="1">
      <c r="A330" s="132"/>
      <c r="B330" s="134"/>
      <c r="C330" s="18" t="s">
        <v>35</v>
      </c>
      <c r="D330" s="20" t="s">
        <v>36</v>
      </c>
      <c r="E330" s="13">
        <f>E331</f>
        <v>0</v>
      </c>
      <c r="F330" s="13">
        <f>F331</f>
        <v>0</v>
      </c>
      <c r="G330" s="13">
        <f>G331</f>
        <v>0</v>
      </c>
      <c r="H330" s="13">
        <f>H331</f>
        <v>0</v>
      </c>
      <c r="I330" s="13">
        <f t="shared" si="18"/>
        <v>0</v>
      </c>
      <c r="J330" s="13"/>
      <c r="K330" s="13"/>
      <c r="L330" s="13">
        <f t="shared" si="19"/>
        <v>0</v>
      </c>
      <c r="M330" s="13"/>
    </row>
    <row r="331" spans="1:13" ht="46.5" customHeight="1" hidden="1">
      <c r="A331" s="132"/>
      <c r="B331" s="134"/>
      <c r="C331" s="16" t="s">
        <v>39</v>
      </c>
      <c r="D331" s="21" t="s">
        <v>40</v>
      </c>
      <c r="E331" s="13"/>
      <c r="F331" s="13"/>
      <c r="G331" s="13"/>
      <c r="H331" s="13"/>
      <c r="I331" s="13">
        <f t="shared" si="18"/>
        <v>0</v>
      </c>
      <c r="J331" s="13"/>
      <c r="K331" s="13"/>
      <c r="L331" s="13">
        <f t="shared" si="19"/>
        <v>0</v>
      </c>
      <c r="M331" s="13"/>
    </row>
    <row r="332" spans="1:13" ht="15.75" customHeight="1" hidden="1">
      <c r="A332" s="132"/>
      <c r="B332" s="134"/>
      <c r="C332" s="18" t="s">
        <v>41</v>
      </c>
      <c r="D332" s="20" t="s">
        <v>42</v>
      </c>
      <c r="E332" s="13"/>
      <c r="F332" s="13"/>
      <c r="G332" s="13"/>
      <c r="H332" s="13"/>
      <c r="I332" s="13">
        <f aca="true" t="shared" si="24" ref="I332:I396">H332-G332</f>
        <v>0</v>
      </c>
      <c r="J332" s="13"/>
      <c r="K332" s="13"/>
      <c r="L332" s="13">
        <f t="shared" si="19"/>
        <v>0</v>
      </c>
      <c r="M332" s="13"/>
    </row>
    <row r="333" spans="1:13" ht="15.75" customHeight="1" hidden="1">
      <c r="A333" s="132"/>
      <c r="B333" s="134"/>
      <c r="C333" s="18" t="s">
        <v>43</v>
      </c>
      <c r="D333" s="20" t="s">
        <v>44</v>
      </c>
      <c r="E333" s="13"/>
      <c r="F333" s="13"/>
      <c r="G333" s="13"/>
      <c r="H333" s="13"/>
      <c r="I333" s="13">
        <f t="shared" si="24"/>
        <v>0</v>
      </c>
      <c r="J333" s="13"/>
      <c r="K333" s="13"/>
      <c r="L333" s="13">
        <f t="shared" si="19"/>
        <v>0</v>
      </c>
      <c r="M333" s="13"/>
    </row>
    <row r="334" spans="1:13" ht="15.75" customHeight="1" hidden="1">
      <c r="A334" s="132"/>
      <c r="B334" s="134"/>
      <c r="C334" s="18" t="s">
        <v>45</v>
      </c>
      <c r="D334" s="20" t="s">
        <v>46</v>
      </c>
      <c r="F334" s="13"/>
      <c r="G334" s="13"/>
      <c r="H334" s="13"/>
      <c r="I334" s="13">
        <f t="shared" si="24"/>
        <v>0</v>
      </c>
      <c r="J334" s="13"/>
      <c r="K334" s="13"/>
      <c r="L334" s="13">
        <f t="shared" si="19"/>
        <v>0</v>
      </c>
      <c r="M334" s="13"/>
    </row>
    <row r="335" spans="1:13" ht="15.75" customHeight="1" hidden="1">
      <c r="A335" s="132"/>
      <c r="B335" s="134"/>
      <c r="C335" s="18" t="s">
        <v>49</v>
      </c>
      <c r="D335" s="20" t="s">
        <v>101</v>
      </c>
      <c r="E335" s="13">
        <v>72.3</v>
      </c>
      <c r="F335" s="13">
        <f>1488.2+115</f>
        <v>1603.2</v>
      </c>
      <c r="G335" s="13"/>
      <c r="H335" s="13"/>
      <c r="I335" s="13">
        <f t="shared" si="24"/>
        <v>0</v>
      </c>
      <c r="J335" s="13"/>
      <c r="K335" s="13">
        <f t="shared" si="20"/>
        <v>0</v>
      </c>
      <c r="L335" s="13">
        <f aca="true" t="shared" si="25" ref="L335:L399">H335-E335</f>
        <v>-72.3</v>
      </c>
      <c r="M335" s="13"/>
    </row>
    <row r="336" spans="1:13" ht="15.75" hidden="1">
      <c r="A336" s="132"/>
      <c r="B336" s="134"/>
      <c r="C336" s="18" t="s">
        <v>69</v>
      </c>
      <c r="D336" s="21" t="s">
        <v>70</v>
      </c>
      <c r="E336" s="13">
        <v>11981.9</v>
      </c>
      <c r="F336" s="13">
        <f>137524.3+47927.6</f>
        <v>185451.9</v>
      </c>
      <c r="G336" s="13"/>
      <c r="H336" s="13">
        <v>11981.9</v>
      </c>
      <c r="I336" s="13">
        <f t="shared" si="24"/>
        <v>11981.9</v>
      </c>
      <c r="J336" s="13"/>
      <c r="K336" s="13">
        <f t="shared" si="20"/>
        <v>6.460920594504558</v>
      </c>
      <c r="L336" s="13">
        <f t="shared" si="25"/>
        <v>0</v>
      </c>
      <c r="M336" s="13">
        <f aca="true" t="shared" si="26" ref="M336:M342">H336/E336*100</f>
        <v>100</v>
      </c>
    </row>
    <row r="337" spans="1:13" ht="15.75" hidden="1">
      <c r="A337" s="132"/>
      <c r="B337" s="134"/>
      <c r="C337" s="18" t="s">
        <v>51</v>
      </c>
      <c r="D337" s="20" t="s">
        <v>46</v>
      </c>
      <c r="E337" s="13">
        <v>-156.5</v>
      </c>
      <c r="F337" s="13"/>
      <c r="G337" s="13"/>
      <c r="H337" s="13"/>
      <c r="I337" s="13"/>
      <c r="J337" s="13"/>
      <c r="K337" s="13"/>
      <c r="L337" s="13">
        <f t="shared" si="25"/>
        <v>156.5</v>
      </c>
      <c r="M337" s="13"/>
    </row>
    <row r="338" spans="1:13" s="28" customFormat="1" ht="15.75" hidden="1">
      <c r="A338" s="132"/>
      <c r="B338" s="134"/>
      <c r="C338" s="10"/>
      <c r="D338" s="26" t="s">
        <v>52</v>
      </c>
      <c r="E338" s="40">
        <f>SUM(E328:E330,E332:E337)</f>
        <v>11957.699999999999</v>
      </c>
      <c r="F338" s="40">
        <f>SUM(F328:F330,F332:F337)</f>
        <v>187055.1</v>
      </c>
      <c r="G338" s="40">
        <f>SUM(G328:G330,G332:G337)</f>
        <v>0</v>
      </c>
      <c r="H338" s="40">
        <f>SUM(H328:H330,H332:H337)</f>
        <v>11981.9</v>
      </c>
      <c r="I338" s="13">
        <f t="shared" si="24"/>
        <v>11981.9</v>
      </c>
      <c r="J338" s="13"/>
      <c r="K338" s="27">
        <f t="shared" si="20"/>
        <v>6.405545745611854</v>
      </c>
      <c r="L338" s="13">
        <f t="shared" si="25"/>
        <v>24.200000000000728</v>
      </c>
      <c r="M338" s="13">
        <f t="shared" si="26"/>
        <v>100.20238005636537</v>
      </c>
    </row>
    <row r="339" spans="1:13" ht="15.75" customHeight="1" hidden="1">
      <c r="A339" s="132"/>
      <c r="B339" s="134"/>
      <c r="C339" s="18" t="s">
        <v>155</v>
      </c>
      <c r="D339" s="20" t="s">
        <v>156</v>
      </c>
      <c r="E339" s="13">
        <v>4368.7</v>
      </c>
      <c r="F339" s="13">
        <v>178134.7</v>
      </c>
      <c r="G339" s="13">
        <v>6608.9</v>
      </c>
      <c r="H339" s="13">
        <f>0.5+5545.29</f>
        <v>5545.79</v>
      </c>
      <c r="I339" s="13">
        <f t="shared" si="24"/>
        <v>-1063.1099999999997</v>
      </c>
      <c r="J339" s="13">
        <f>H339/G339*100</f>
        <v>83.91396450241342</v>
      </c>
      <c r="K339" s="13">
        <f t="shared" si="20"/>
        <v>3.1132564289832354</v>
      </c>
      <c r="L339" s="13">
        <f t="shared" si="25"/>
        <v>1177.0900000000001</v>
      </c>
      <c r="M339" s="13">
        <f t="shared" si="26"/>
        <v>126.94371323276947</v>
      </c>
    </row>
    <row r="340" spans="1:13" ht="31.5" hidden="1">
      <c r="A340" s="132"/>
      <c r="B340" s="134"/>
      <c r="C340" s="18" t="s">
        <v>27</v>
      </c>
      <c r="D340" s="22" t="s">
        <v>28</v>
      </c>
      <c r="E340" s="13"/>
      <c r="F340" s="13"/>
      <c r="G340" s="13"/>
      <c r="H340" s="13"/>
      <c r="I340" s="13">
        <f t="shared" si="24"/>
        <v>0</v>
      </c>
      <c r="J340" s="13"/>
      <c r="K340" s="13"/>
      <c r="L340" s="13">
        <f t="shared" si="25"/>
        <v>0</v>
      </c>
      <c r="M340" s="13" t="e">
        <f t="shared" si="26"/>
        <v>#DIV/0!</v>
      </c>
    </row>
    <row r="341" spans="1:13" ht="15.75" hidden="1">
      <c r="A341" s="132"/>
      <c r="B341" s="134"/>
      <c r="C341" s="18" t="s">
        <v>35</v>
      </c>
      <c r="D341" s="20" t="s">
        <v>36</v>
      </c>
      <c r="E341" s="13">
        <f>SUM(E342:E345)</f>
        <v>772.5</v>
      </c>
      <c r="F341" s="13">
        <f>SUM(F342:F345)</f>
        <v>22110.899999999998</v>
      </c>
      <c r="G341" s="13">
        <f>SUM(G342:G345)</f>
        <v>993.8</v>
      </c>
      <c r="H341" s="13">
        <f>SUM(H342:H345)</f>
        <v>1534.1499999999999</v>
      </c>
      <c r="I341" s="13">
        <f t="shared" si="24"/>
        <v>540.3499999999999</v>
      </c>
      <c r="J341" s="13">
        <f>H341/G341*100</f>
        <v>154.3721070637955</v>
      </c>
      <c r="K341" s="13">
        <f t="shared" si="20"/>
        <v>6.93843308051685</v>
      </c>
      <c r="L341" s="13">
        <f t="shared" si="25"/>
        <v>761.6499999999999</v>
      </c>
      <c r="M341" s="13">
        <f t="shared" si="26"/>
        <v>198.5954692556634</v>
      </c>
    </row>
    <row r="342" spans="1:13" s="28" customFormat="1" ht="63" customHeight="1" hidden="1">
      <c r="A342" s="132"/>
      <c r="B342" s="134"/>
      <c r="C342" s="16" t="s">
        <v>157</v>
      </c>
      <c r="D342" s="21" t="s">
        <v>158</v>
      </c>
      <c r="E342" s="13">
        <v>36.7</v>
      </c>
      <c r="F342" s="13">
        <v>500</v>
      </c>
      <c r="G342" s="13">
        <v>35</v>
      </c>
      <c r="H342" s="13">
        <v>15.5</v>
      </c>
      <c r="I342" s="13">
        <f t="shared" si="24"/>
        <v>-19.5</v>
      </c>
      <c r="J342" s="13">
        <f>H342/G342*100</f>
        <v>44.285714285714285</v>
      </c>
      <c r="K342" s="13">
        <f t="shared" si="20"/>
        <v>3.1</v>
      </c>
      <c r="L342" s="13">
        <f t="shared" si="25"/>
        <v>-21.200000000000003</v>
      </c>
      <c r="M342" s="13">
        <f t="shared" si="26"/>
        <v>42.23433242506812</v>
      </c>
    </row>
    <row r="343" spans="1:13" s="28" customFormat="1" ht="63" customHeight="1" hidden="1">
      <c r="A343" s="132"/>
      <c r="B343" s="134"/>
      <c r="C343" s="16" t="s">
        <v>159</v>
      </c>
      <c r="D343" s="21" t="s">
        <v>160</v>
      </c>
      <c r="E343" s="13">
        <v>19.6</v>
      </c>
      <c r="F343" s="13">
        <v>529.4</v>
      </c>
      <c r="G343" s="13">
        <v>27.9</v>
      </c>
      <c r="H343" s="13">
        <v>15.5</v>
      </c>
      <c r="I343" s="13">
        <f t="shared" si="24"/>
        <v>-12.399999999999999</v>
      </c>
      <c r="J343" s="13">
        <f>H343/G343*100</f>
        <v>55.55555555555556</v>
      </c>
      <c r="K343" s="13">
        <f t="shared" si="20"/>
        <v>2.927842840952021</v>
      </c>
      <c r="L343" s="13">
        <f t="shared" si="25"/>
        <v>-4.100000000000001</v>
      </c>
      <c r="M343" s="13">
        <f>H343/E343*100</f>
        <v>79.08163265306122</v>
      </c>
    </row>
    <row r="344" spans="1:13" s="28" customFormat="1" ht="47.25" customHeight="1" hidden="1">
      <c r="A344" s="132"/>
      <c r="B344" s="134"/>
      <c r="C344" s="16" t="s">
        <v>161</v>
      </c>
      <c r="D344" s="21" t="s">
        <v>162</v>
      </c>
      <c r="E344" s="13"/>
      <c r="F344" s="13">
        <v>2.2</v>
      </c>
      <c r="G344" s="13"/>
      <c r="H344" s="13">
        <v>0.3</v>
      </c>
      <c r="I344" s="13">
        <f t="shared" si="24"/>
        <v>0.3</v>
      </c>
      <c r="J344" s="13"/>
      <c r="K344" s="13">
        <f t="shared" si="20"/>
        <v>13.636363636363635</v>
      </c>
      <c r="L344" s="13">
        <f t="shared" si="25"/>
        <v>0.3</v>
      </c>
      <c r="M344" s="13"/>
    </row>
    <row r="345" spans="1:13" s="28" customFormat="1" ht="47.25" customHeight="1" hidden="1">
      <c r="A345" s="132"/>
      <c r="B345" s="134"/>
      <c r="C345" s="16" t="s">
        <v>39</v>
      </c>
      <c r="D345" s="21" t="s">
        <v>40</v>
      </c>
      <c r="E345" s="13">
        <v>716.2</v>
      </c>
      <c r="F345" s="13">
        <v>21079.3</v>
      </c>
      <c r="G345" s="13">
        <v>930.9</v>
      </c>
      <c r="H345" s="13">
        <v>1502.85</v>
      </c>
      <c r="I345" s="13">
        <f t="shared" si="24"/>
        <v>571.9499999999999</v>
      </c>
      <c r="J345" s="13">
        <f>H345/G345*100</f>
        <v>161.4405414115372</v>
      </c>
      <c r="K345" s="13">
        <f t="shared" si="20"/>
        <v>7.129506198023654</v>
      </c>
      <c r="L345" s="13">
        <f t="shared" si="25"/>
        <v>786.6499999999999</v>
      </c>
      <c r="M345" s="13">
        <f>H345/E345*100</f>
        <v>209.83663781066738</v>
      </c>
    </row>
    <row r="346" spans="1:13" s="28" customFormat="1" ht="15.75" customHeight="1" hidden="1">
      <c r="A346" s="132"/>
      <c r="B346" s="134"/>
      <c r="C346" s="18" t="s">
        <v>69</v>
      </c>
      <c r="D346" s="21" t="s">
        <v>70</v>
      </c>
      <c r="E346" s="13"/>
      <c r="F346" s="13"/>
      <c r="G346" s="13"/>
      <c r="H346" s="13"/>
      <c r="I346" s="13">
        <f t="shared" si="24"/>
        <v>0</v>
      </c>
      <c r="J346" s="13"/>
      <c r="K346" s="13"/>
      <c r="L346" s="13">
        <f t="shared" si="25"/>
        <v>0</v>
      </c>
      <c r="M346" s="13"/>
    </row>
    <row r="347" spans="1:13" s="28" customFormat="1" ht="15.75" hidden="1">
      <c r="A347" s="132"/>
      <c r="B347" s="134"/>
      <c r="C347" s="36"/>
      <c r="D347" s="26" t="s">
        <v>55</v>
      </c>
      <c r="E347" s="40">
        <f>SUM(E339:E341,E346)</f>
        <v>5141.2</v>
      </c>
      <c r="F347" s="40">
        <f>SUM(F339:F341,F346)</f>
        <v>200245.6</v>
      </c>
      <c r="G347" s="40">
        <f>SUM(G339:G341,G346)</f>
        <v>7602.7</v>
      </c>
      <c r="H347" s="40">
        <f>SUM(H339:H341,H346)</f>
        <v>7079.94</v>
      </c>
      <c r="I347" s="13">
        <f t="shared" si="24"/>
        <v>-522.7600000000002</v>
      </c>
      <c r="J347" s="13">
        <f>H347/G347*100</f>
        <v>93.12402172912255</v>
      </c>
      <c r="K347" s="13">
        <f t="shared" si="20"/>
        <v>3.5356282485108284</v>
      </c>
      <c r="L347" s="13">
        <f t="shared" si="25"/>
        <v>1938.7399999999998</v>
      </c>
      <c r="M347" s="13">
        <f>H347/E347*100</f>
        <v>137.70987318135843</v>
      </c>
    </row>
    <row r="348" spans="1:13" s="28" customFormat="1" ht="31.5" customHeight="1" hidden="1">
      <c r="A348" s="132"/>
      <c r="B348" s="134"/>
      <c r="C348" s="36"/>
      <c r="D348" s="26" t="s">
        <v>56</v>
      </c>
      <c r="E348" s="40">
        <f>E349-E337</f>
        <v>17255.399999999998</v>
      </c>
      <c r="F348" s="40">
        <f>F349-F337</f>
        <v>387300.7</v>
      </c>
      <c r="G348" s="40">
        <f>G349-G337</f>
        <v>7602.7</v>
      </c>
      <c r="H348" s="40">
        <f>H349-H337</f>
        <v>19061.84</v>
      </c>
      <c r="I348" s="13">
        <f t="shared" si="24"/>
        <v>11459.14</v>
      </c>
      <c r="J348" s="13">
        <f>H348/G348*100</f>
        <v>250.72461099346285</v>
      </c>
      <c r="K348" s="27">
        <f t="shared" si="20"/>
        <v>4.921715865734299</v>
      </c>
      <c r="L348" s="13">
        <f t="shared" si="25"/>
        <v>1806.4400000000023</v>
      </c>
      <c r="M348" s="13">
        <f>H348/E348*100</f>
        <v>110.46883874033637</v>
      </c>
    </row>
    <row r="349" spans="1:13" s="33" customFormat="1" ht="15.75" hidden="1">
      <c r="A349" s="135"/>
      <c r="B349" s="136"/>
      <c r="C349" s="41"/>
      <c r="D349" s="31" t="s">
        <v>77</v>
      </c>
      <c r="E349" s="43">
        <f>E338+E347</f>
        <v>17098.899999999998</v>
      </c>
      <c r="F349" s="43">
        <f>F338+F347</f>
        <v>387300.7</v>
      </c>
      <c r="G349" s="43">
        <f>G338+G347</f>
        <v>7602.7</v>
      </c>
      <c r="H349" s="43">
        <f>H338+H347</f>
        <v>19061.84</v>
      </c>
      <c r="I349" s="32">
        <f t="shared" si="24"/>
        <v>11459.14</v>
      </c>
      <c r="J349" s="32">
        <f>H349/G349*100</f>
        <v>250.72461099346285</v>
      </c>
      <c r="K349" s="32">
        <f>H349/F349*100</f>
        <v>4.921715865734299</v>
      </c>
      <c r="L349" s="32">
        <f t="shared" si="25"/>
        <v>1962.9400000000023</v>
      </c>
      <c r="M349" s="32">
        <f>H349/E349*100</f>
        <v>111.47991976092031</v>
      </c>
    </row>
    <row r="350" spans="1:13" ht="31.5" customHeight="1" hidden="1">
      <c r="A350" s="130" t="s">
        <v>163</v>
      </c>
      <c r="B350" s="130" t="s">
        <v>164</v>
      </c>
      <c r="C350" s="18" t="s">
        <v>165</v>
      </c>
      <c r="D350" s="20" t="s">
        <v>166</v>
      </c>
      <c r="E350" s="13">
        <v>21</v>
      </c>
      <c r="F350" s="13">
        <v>843</v>
      </c>
      <c r="G350" s="13">
        <v>21</v>
      </c>
      <c r="H350" s="13">
        <v>6</v>
      </c>
      <c r="I350" s="13">
        <f t="shared" si="24"/>
        <v>-15</v>
      </c>
      <c r="J350" s="13">
        <f>H350/G350*100</f>
        <v>28.57142857142857</v>
      </c>
      <c r="K350" s="13">
        <f>H350/F350*100</f>
        <v>0.7117437722419928</v>
      </c>
      <c r="L350" s="13">
        <f t="shared" si="25"/>
        <v>-15</v>
      </c>
      <c r="M350" s="13">
        <f>H350/E350*100</f>
        <v>28.57142857142857</v>
      </c>
    </row>
    <row r="351" spans="1:13" ht="15.75" customHeight="1" hidden="1">
      <c r="A351" s="134"/>
      <c r="B351" s="134"/>
      <c r="C351" s="18" t="s">
        <v>21</v>
      </c>
      <c r="D351" s="19" t="s">
        <v>167</v>
      </c>
      <c r="E351" s="13"/>
      <c r="F351" s="13"/>
      <c r="G351" s="13"/>
      <c r="H351" s="13"/>
      <c r="I351" s="13">
        <f t="shared" si="24"/>
        <v>0</v>
      </c>
      <c r="J351" s="13"/>
      <c r="K351" s="13"/>
      <c r="L351" s="13">
        <f t="shared" si="25"/>
        <v>0</v>
      </c>
      <c r="M351" s="13"/>
    </row>
    <row r="352" spans="1:13" ht="69" customHeight="1" hidden="1">
      <c r="A352" s="134"/>
      <c r="B352" s="134"/>
      <c r="C352" s="16" t="s">
        <v>25</v>
      </c>
      <c r="D352" s="21" t="s">
        <v>168</v>
      </c>
      <c r="E352" s="13">
        <v>1032.7</v>
      </c>
      <c r="F352" s="13">
        <v>127696.3</v>
      </c>
      <c r="G352" s="13">
        <v>10641</v>
      </c>
      <c r="H352" s="13">
        <v>10841.92</v>
      </c>
      <c r="I352" s="13">
        <f t="shared" si="24"/>
        <v>200.92000000000007</v>
      </c>
      <c r="J352" s="13">
        <f>H352/G352*100</f>
        <v>101.88816840522507</v>
      </c>
      <c r="K352" s="13">
        <f>H352/F352*100</f>
        <v>8.490394788259332</v>
      </c>
      <c r="L352" s="13">
        <f t="shared" si="25"/>
        <v>9809.22</v>
      </c>
      <c r="M352" s="13">
        <f>H352/E352*100</f>
        <v>1049.8615280333106</v>
      </c>
    </row>
    <row r="353" spans="1:13" ht="31.5" customHeight="1" hidden="1">
      <c r="A353" s="134"/>
      <c r="B353" s="134"/>
      <c r="C353" s="18" t="s">
        <v>27</v>
      </c>
      <c r="D353" s="22" t="s">
        <v>28</v>
      </c>
      <c r="E353" s="13"/>
      <c r="F353" s="13"/>
      <c r="G353" s="13"/>
      <c r="H353" s="13"/>
      <c r="I353" s="13">
        <f t="shared" si="24"/>
        <v>0</v>
      </c>
      <c r="J353" s="13"/>
      <c r="K353" s="13"/>
      <c r="L353" s="13">
        <f t="shared" si="25"/>
        <v>0</v>
      </c>
      <c r="M353" s="13"/>
    </row>
    <row r="354" spans="1:13" ht="15.75" customHeight="1" hidden="1">
      <c r="A354" s="134"/>
      <c r="B354" s="134"/>
      <c r="C354" s="18" t="s">
        <v>35</v>
      </c>
      <c r="D354" s="20" t="s">
        <v>36</v>
      </c>
      <c r="E354" s="13">
        <f>E355</f>
        <v>0</v>
      </c>
      <c r="F354" s="13">
        <f>F355</f>
        <v>0</v>
      </c>
      <c r="G354" s="13">
        <f>G355</f>
        <v>0</v>
      </c>
      <c r="H354" s="13">
        <f>H355</f>
        <v>0</v>
      </c>
      <c r="I354" s="13">
        <f t="shared" si="24"/>
        <v>0</v>
      </c>
      <c r="J354" s="13"/>
      <c r="K354" s="13"/>
      <c r="L354" s="13">
        <f t="shared" si="25"/>
        <v>0</v>
      </c>
      <c r="M354" s="13"/>
    </row>
    <row r="355" spans="1:13" ht="15.75" customHeight="1" hidden="1">
      <c r="A355" s="134"/>
      <c r="B355" s="134"/>
      <c r="C355" s="16" t="s">
        <v>39</v>
      </c>
      <c r="D355" s="21" t="s">
        <v>40</v>
      </c>
      <c r="E355" s="13"/>
      <c r="F355" s="13"/>
      <c r="G355" s="13"/>
      <c r="H355" s="13"/>
      <c r="I355" s="13">
        <f t="shared" si="24"/>
        <v>0</v>
      </c>
      <c r="J355" s="13"/>
      <c r="K355" s="13"/>
      <c r="L355" s="13">
        <f t="shared" si="25"/>
        <v>0</v>
      </c>
      <c r="M355" s="13"/>
    </row>
    <row r="356" spans="1:13" ht="15.75" hidden="1">
      <c r="A356" s="134"/>
      <c r="B356" s="134"/>
      <c r="C356" s="18" t="s">
        <v>41</v>
      </c>
      <c r="D356" s="20" t="s">
        <v>42</v>
      </c>
      <c r="E356" s="13"/>
      <c r="F356" s="13"/>
      <c r="G356" s="13"/>
      <c r="H356" s="13"/>
      <c r="I356" s="13">
        <f t="shared" si="24"/>
        <v>0</v>
      </c>
      <c r="J356" s="13"/>
      <c r="K356" s="13"/>
      <c r="L356" s="13">
        <f t="shared" si="25"/>
        <v>0</v>
      </c>
      <c r="M356" s="13"/>
    </row>
    <row r="357" spans="1:13" ht="15.75" customHeight="1" hidden="1">
      <c r="A357" s="134"/>
      <c r="B357" s="134"/>
      <c r="C357" s="18" t="s">
        <v>43</v>
      </c>
      <c r="D357" s="20" t="s">
        <v>44</v>
      </c>
      <c r="E357" s="13"/>
      <c r="F357" s="13"/>
      <c r="G357" s="13"/>
      <c r="H357" s="13"/>
      <c r="I357" s="13">
        <f t="shared" si="24"/>
        <v>0</v>
      </c>
      <c r="J357" s="13"/>
      <c r="K357" s="13"/>
      <c r="L357" s="13">
        <f t="shared" si="25"/>
        <v>0</v>
      </c>
      <c r="M357" s="13"/>
    </row>
    <row r="358" spans="1:13" ht="15.75" customHeight="1" hidden="1">
      <c r="A358" s="134"/>
      <c r="B358" s="134"/>
      <c r="C358" s="18" t="s">
        <v>45</v>
      </c>
      <c r="D358" s="20" t="s">
        <v>46</v>
      </c>
      <c r="E358" s="13"/>
      <c r="F358" s="13"/>
      <c r="G358" s="13"/>
      <c r="H358" s="13"/>
      <c r="I358" s="13">
        <f t="shared" si="24"/>
        <v>0</v>
      </c>
      <c r="J358" s="13"/>
      <c r="K358" s="13"/>
      <c r="L358" s="13">
        <f t="shared" si="25"/>
        <v>0</v>
      </c>
      <c r="M358" s="13"/>
    </row>
    <row r="359" spans="1:13" ht="31.5" hidden="1">
      <c r="A359" s="134"/>
      <c r="B359" s="134"/>
      <c r="C359" s="18" t="s">
        <v>49</v>
      </c>
      <c r="D359" s="20" t="s">
        <v>50</v>
      </c>
      <c r="E359" s="13"/>
      <c r="F359" s="13">
        <v>30</v>
      </c>
      <c r="G359" s="13"/>
      <c r="H359" s="13"/>
      <c r="I359" s="13">
        <f t="shared" si="24"/>
        <v>0</v>
      </c>
      <c r="J359" s="13"/>
      <c r="K359" s="13">
        <f aca="true" t="shared" si="27" ref="K359:K366">H359/F359*100</f>
        <v>0</v>
      </c>
      <c r="L359" s="13">
        <f t="shared" si="25"/>
        <v>0</v>
      </c>
      <c r="M359" s="13"/>
    </row>
    <row r="360" spans="1:13" s="28" customFormat="1" ht="15.75" customHeight="1" hidden="1">
      <c r="A360" s="134"/>
      <c r="B360" s="134"/>
      <c r="C360" s="25"/>
      <c r="D360" s="26" t="s">
        <v>52</v>
      </c>
      <c r="E360" s="40">
        <f>SUM(E350:E354,E356:E359)</f>
        <v>1053.7</v>
      </c>
      <c r="F360" s="40">
        <f>SUM(F350:F354,F356:F359)</f>
        <v>128569.3</v>
      </c>
      <c r="G360" s="40">
        <f>SUM(G350:G354,G356:G359)</f>
        <v>10662</v>
      </c>
      <c r="H360" s="40">
        <f>SUM(H350:H354,H356:H359)</f>
        <v>10847.92</v>
      </c>
      <c r="I360" s="13">
        <f t="shared" si="24"/>
        <v>185.92000000000007</v>
      </c>
      <c r="J360" s="13">
        <f>H360/G360*100</f>
        <v>101.74376289626711</v>
      </c>
      <c r="K360" s="27">
        <f t="shared" si="27"/>
        <v>8.437410797134309</v>
      </c>
      <c r="L360" s="13">
        <f t="shared" si="25"/>
        <v>9794.22</v>
      </c>
      <c r="M360" s="13">
        <f>H360/E360*100</f>
        <v>1029.5074499383127</v>
      </c>
    </row>
    <row r="361" spans="1:13" ht="15.75" hidden="1">
      <c r="A361" s="134"/>
      <c r="B361" s="134"/>
      <c r="C361" s="18" t="s">
        <v>169</v>
      </c>
      <c r="D361" s="20" t="s">
        <v>170</v>
      </c>
      <c r="E361" s="13"/>
      <c r="F361" s="13">
        <v>652.7</v>
      </c>
      <c r="G361" s="13"/>
      <c r="H361" s="13">
        <v>3.96</v>
      </c>
      <c r="I361" s="13">
        <f t="shared" si="24"/>
        <v>3.96</v>
      </c>
      <c r="J361" s="13"/>
      <c r="K361" s="13">
        <f t="shared" si="27"/>
        <v>0.60671058679332</v>
      </c>
      <c r="L361" s="13">
        <f t="shared" si="25"/>
        <v>3.96</v>
      </c>
      <c r="M361" s="13"/>
    </row>
    <row r="362" spans="1:13" ht="15.75" hidden="1">
      <c r="A362" s="134"/>
      <c r="B362" s="134"/>
      <c r="C362" s="18" t="s">
        <v>35</v>
      </c>
      <c r="D362" s="20" t="s">
        <v>36</v>
      </c>
      <c r="E362" s="13">
        <f>SUM(E363:E364)</f>
        <v>1143.7</v>
      </c>
      <c r="F362" s="13">
        <f>SUM(F363:F364)</f>
        <v>9874</v>
      </c>
      <c r="G362" s="13">
        <f>SUM(G363:G364)</f>
        <v>562.5</v>
      </c>
      <c r="H362" s="13">
        <f>SUM(H363:H364)</f>
        <v>677.64</v>
      </c>
      <c r="I362" s="13">
        <f t="shared" si="24"/>
        <v>115.13999999999999</v>
      </c>
      <c r="J362" s="13">
        <f>H362/G362*100</f>
        <v>120.46933333333334</v>
      </c>
      <c r="K362" s="13">
        <f t="shared" si="27"/>
        <v>6.862872189588819</v>
      </c>
      <c r="L362" s="13">
        <f t="shared" si="25"/>
        <v>-466.06000000000006</v>
      </c>
      <c r="M362" s="13">
        <f>H362/E362*100</f>
        <v>59.24980327008831</v>
      </c>
    </row>
    <row r="363" spans="1:13" s="28" customFormat="1" ht="48.75" customHeight="1" hidden="1">
      <c r="A363" s="134"/>
      <c r="B363" s="134"/>
      <c r="C363" s="16" t="s">
        <v>171</v>
      </c>
      <c r="D363" s="21" t="s">
        <v>172</v>
      </c>
      <c r="E363" s="13">
        <v>1115.2</v>
      </c>
      <c r="F363" s="13">
        <v>9124</v>
      </c>
      <c r="G363" s="13">
        <v>500</v>
      </c>
      <c r="H363" s="13">
        <v>610.99</v>
      </c>
      <c r="I363" s="13">
        <f t="shared" si="24"/>
        <v>110.99000000000001</v>
      </c>
      <c r="J363" s="13">
        <f>H363/G363*100</f>
        <v>122.19800000000001</v>
      </c>
      <c r="K363" s="13">
        <f t="shared" si="27"/>
        <v>6.696514686540992</v>
      </c>
      <c r="L363" s="13">
        <f t="shared" si="25"/>
        <v>-504.21000000000004</v>
      </c>
      <c r="M363" s="13">
        <f>H363/E363*100</f>
        <v>54.787482065997125</v>
      </c>
    </row>
    <row r="364" spans="1:13" s="28" customFormat="1" ht="48.75" customHeight="1" hidden="1">
      <c r="A364" s="134"/>
      <c r="B364" s="134"/>
      <c r="C364" s="16" t="s">
        <v>39</v>
      </c>
      <c r="D364" s="21" t="s">
        <v>40</v>
      </c>
      <c r="E364" s="13">
        <v>28.5</v>
      </c>
      <c r="F364" s="13">
        <v>750</v>
      </c>
      <c r="G364" s="13">
        <v>62.5</v>
      </c>
      <c r="H364" s="13">
        <v>66.65</v>
      </c>
      <c r="I364" s="13">
        <f t="shared" si="24"/>
        <v>4.150000000000006</v>
      </c>
      <c r="J364" s="13">
        <f>H364/G364*100</f>
        <v>106.64</v>
      </c>
      <c r="K364" s="13">
        <f t="shared" si="27"/>
        <v>8.886666666666668</v>
      </c>
      <c r="L364" s="13">
        <f t="shared" si="25"/>
        <v>38.150000000000006</v>
      </c>
      <c r="M364" s="13">
        <f>H364/E364*100</f>
        <v>233.85964912280707</v>
      </c>
    </row>
    <row r="365" spans="1:13" s="28" customFormat="1" ht="15.75" hidden="1">
      <c r="A365" s="134"/>
      <c r="B365" s="134"/>
      <c r="C365" s="36"/>
      <c r="D365" s="26" t="s">
        <v>55</v>
      </c>
      <c r="E365" s="40">
        <f>SUM(E361:E362)</f>
        <v>1143.7</v>
      </c>
      <c r="F365" s="40">
        <f>SUM(F361:F362)</f>
        <v>10526.7</v>
      </c>
      <c r="G365" s="40">
        <f>SUM(G361:G362)</f>
        <v>562.5</v>
      </c>
      <c r="H365" s="40">
        <f>SUM(H361:H362)</f>
        <v>681.6</v>
      </c>
      <c r="I365" s="13">
        <f t="shared" si="24"/>
        <v>119.10000000000002</v>
      </c>
      <c r="J365" s="13">
        <f>H365/G365*100</f>
        <v>121.17333333333333</v>
      </c>
      <c r="K365" s="27">
        <f t="shared" si="27"/>
        <v>6.47496366382627</v>
      </c>
      <c r="L365" s="13">
        <f t="shared" si="25"/>
        <v>-462.1</v>
      </c>
      <c r="M365" s="13">
        <f>H365/E365*100</f>
        <v>59.59604791466293</v>
      </c>
    </row>
    <row r="366" spans="1:13" s="33" customFormat="1" ht="15.75" customHeight="1" hidden="1">
      <c r="A366" s="136"/>
      <c r="B366" s="136"/>
      <c r="C366" s="30"/>
      <c r="D366" s="31" t="s">
        <v>77</v>
      </c>
      <c r="E366" s="43">
        <f>E360+E365</f>
        <v>2197.4</v>
      </c>
      <c r="F366" s="43">
        <f>F360+F365</f>
        <v>139096</v>
      </c>
      <c r="G366" s="43">
        <f>G360+G365</f>
        <v>11224.5</v>
      </c>
      <c r="H366" s="43">
        <f>H360+H365</f>
        <v>11529.52</v>
      </c>
      <c r="I366" s="32">
        <f t="shared" si="24"/>
        <v>305.02000000000044</v>
      </c>
      <c r="J366" s="32">
        <f>H366/G366*100</f>
        <v>102.71744843868325</v>
      </c>
      <c r="K366" s="32">
        <f t="shared" si="27"/>
        <v>8.288894001265314</v>
      </c>
      <c r="L366" s="32">
        <f t="shared" si="25"/>
        <v>9332.12</v>
      </c>
      <c r="M366" s="32">
        <f>H366/E366*100</f>
        <v>524.6891781195959</v>
      </c>
    </row>
    <row r="367" spans="1:13" s="28" customFormat="1" ht="15.75" hidden="1">
      <c r="A367" s="114" t="s">
        <v>173</v>
      </c>
      <c r="B367" s="114" t="s">
        <v>174</v>
      </c>
      <c r="C367" s="18" t="s">
        <v>45</v>
      </c>
      <c r="D367" s="20" t="s">
        <v>46</v>
      </c>
      <c r="E367" s="39"/>
      <c r="F367" s="40"/>
      <c r="G367" s="40"/>
      <c r="H367" s="40"/>
      <c r="I367" s="13">
        <f t="shared" si="24"/>
        <v>0</v>
      </c>
      <c r="J367" s="13"/>
      <c r="K367" s="13"/>
      <c r="L367" s="13">
        <f t="shared" si="25"/>
        <v>0</v>
      </c>
      <c r="M367" s="13"/>
    </row>
    <row r="368" spans="1:13" s="28" customFormat="1" ht="47.25" hidden="1">
      <c r="A368" s="114"/>
      <c r="B368" s="114"/>
      <c r="C368" s="25"/>
      <c r="D368" s="26" t="s">
        <v>56</v>
      </c>
      <c r="E368" s="40">
        <f>E367-E367</f>
        <v>0</v>
      </c>
      <c r="F368" s="40">
        <f>F367-F367</f>
        <v>0</v>
      </c>
      <c r="G368" s="40">
        <f>G367-G367</f>
        <v>0</v>
      </c>
      <c r="H368" s="40">
        <f>H367-H367</f>
        <v>0</v>
      </c>
      <c r="I368" s="13">
        <f t="shared" si="24"/>
        <v>0</v>
      </c>
      <c r="J368" s="13"/>
      <c r="K368" s="27"/>
      <c r="L368" s="13">
        <f t="shared" si="25"/>
        <v>0</v>
      </c>
      <c r="M368" s="13"/>
    </row>
    <row r="369" spans="1:13" s="33" customFormat="1" ht="15.75" hidden="1">
      <c r="A369" s="114"/>
      <c r="B369" s="114"/>
      <c r="C369" s="30"/>
      <c r="D369" s="31" t="s">
        <v>77</v>
      </c>
      <c r="E369" s="43">
        <f>E367</f>
        <v>0</v>
      </c>
      <c r="F369" s="43">
        <f>F367</f>
        <v>0</v>
      </c>
      <c r="G369" s="43">
        <f>G367</f>
        <v>0</v>
      </c>
      <c r="H369" s="43">
        <f>H367</f>
        <v>0</v>
      </c>
      <c r="I369" s="52">
        <f t="shared" si="24"/>
        <v>0</v>
      </c>
      <c r="J369" s="52"/>
      <c r="K369" s="32"/>
      <c r="L369" s="52">
        <f t="shared" si="25"/>
        <v>0</v>
      </c>
      <c r="M369" s="52"/>
    </row>
    <row r="370" spans="1:13" ht="31.5" hidden="1">
      <c r="A370" s="137" t="s">
        <v>175</v>
      </c>
      <c r="B370" s="114" t="s">
        <v>176</v>
      </c>
      <c r="C370" s="18" t="s">
        <v>27</v>
      </c>
      <c r="D370" s="22" t="s">
        <v>28</v>
      </c>
      <c r="E370" s="13"/>
      <c r="F370" s="13"/>
      <c r="G370" s="13"/>
      <c r="H370" s="13"/>
      <c r="I370" s="13">
        <f t="shared" si="24"/>
        <v>0</v>
      </c>
      <c r="J370" s="13"/>
      <c r="K370" s="13"/>
      <c r="L370" s="13">
        <f t="shared" si="25"/>
        <v>0</v>
      </c>
      <c r="M370" s="13"/>
    </row>
    <row r="371" spans="1:13" ht="94.5" hidden="1">
      <c r="A371" s="137"/>
      <c r="B371" s="114"/>
      <c r="C371" s="16" t="s">
        <v>29</v>
      </c>
      <c r="D371" s="23" t="s">
        <v>30</v>
      </c>
      <c r="E371" s="13"/>
      <c r="F371" s="13"/>
      <c r="G371" s="13"/>
      <c r="H371" s="13"/>
      <c r="I371" s="13">
        <f t="shared" si="24"/>
        <v>0</v>
      </c>
      <c r="J371" s="13"/>
      <c r="K371" s="13"/>
      <c r="L371" s="13">
        <f t="shared" si="25"/>
        <v>0</v>
      </c>
      <c r="M371" s="13" t="e">
        <f aca="true" t="shared" si="28" ref="M371:M380">H371/E371*100</f>
        <v>#DIV/0!</v>
      </c>
    </row>
    <row r="372" spans="1:13" ht="15.75" customHeight="1" hidden="1">
      <c r="A372" s="137"/>
      <c r="B372" s="114"/>
      <c r="C372" s="18" t="s">
        <v>35</v>
      </c>
      <c r="D372" s="20" t="s">
        <v>36</v>
      </c>
      <c r="E372" s="13">
        <f>E373</f>
        <v>0</v>
      </c>
      <c r="F372" s="13">
        <f>F373</f>
        <v>0</v>
      </c>
      <c r="G372" s="13">
        <f>G373</f>
        <v>0</v>
      </c>
      <c r="H372" s="13">
        <f>H373</f>
        <v>0</v>
      </c>
      <c r="I372" s="13">
        <f t="shared" si="24"/>
        <v>0</v>
      </c>
      <c r="J372" s="13"/>
      <c r="K372" s="13"/>
      <c r="L372" s="13">
        <f t="shared" si="25"/>
        <v>0</v>
      </c>
      <c r="M372" s="13" t="e">
        <f t="shared" si="28"/>
        <v>#DIV/0!</v>
      </c>
    </row>
    <row r="373" spans="1:13" ht="15.75" customHeight="1" hidden="1">
      <c r="A373" s="137"/>
      <c r="B373" s="114"/>
      <c r="C373" s="16" t="s">
        <v>39</v>
      </c>
      <c r="D373" s="21" t="s">
        <v>40</v>
      </c>
      <c r="E373" s="13"/>
      <c r="F373" s="13"/>
      <c r="G373" s="13"/>
      <c r="H373" s="13"/>
      <c r="I373" s="13">
        <f t="shared" si="24"/>
        <v>0</v>
      </c>
      <c r="J373" s="13"/>
      <c r="K373" s="13"/>
      <c r="L373" s="13">
        <f t="shared" si="25"/>
        <v>0</v>
      </c>
      <c r="M373" s="13" t="e">
        <f t="shared" si="28"/>
        <v>#DIV/0!</v>
      </c>
    </row>
    <row r="374" spans="1:13" ht="15.75" customHeight="1" hidden="1">
      <c r="A374" s="137"/>
      <c r="B374" s="114"/>
      <c r="C374" s="18" t="s">
        <v>41</v>
      </c>
      <c r="D374" s="20" t="s">
        <v>42</v>
      </c>
      <c r="E374" s="13"/>
      <c r="F374" s="13"/>
      <c r="G374" s="13"/>
      <c r="H374" s="13"/>
      <c r="I374" s="13">
        <f t="shared" si="24"/>
        <v>0</v>
      </c>
      <c r="J374" s="13"/>
      <c r="K374" s="13"/>
      <c r="L374" s="13">
        <f t="shared" si="25"/>
        <v>0</v>
      </c>
      <c r="M374" s="13" t="e">
        <f t="shared" si="28"/>
        <v>#DIV/0!</v>
      </c>
    </row>
    <row r="375" spans="1:13" ht="15.75" customHeight="1" hidden="1">
      <c r="A375" s="137"/>
      <c r="B375" s="114"/>
      <c r="C375" s="18" t="s">
        <v>45</v>
      </c>
      <c r="D375" s="20" t="s">
        <v>46</v>
      </c>
      <c r="E375" s="50"/>
      <c r="F375" s="13"/>
      <c r="G375" s="13"/>
      <c r="H375" s="13"/>
      <c r="I375" s="13">
        <f t="shared" si="24"/>
        <v>0</v>
      </c>
      <c r="J375" s="13"/>
      <c r="K375" s="13"/>
      <c r="L375" s="13">
        <f t="shared" si="25"/>
        <v>0</v>
      </c>
      <c r="M375" s="13" t="e">
        <f t="shared" si="28"/>
        <v>#DIV/0!</v>
      </c>
    </row>
    <row r="376" spans="1:13" ht="31.5" hidden="1">
      <c r="A376" s="137"/>
      <c r="B376" s="114"/>
      <c r="C376" s="18" t="s">
        <v>49</v>
      </c>
      <c r="D376" s="20" t="s">
        <v>50</v>
      </c>
      <c r="E376" s="13">
        <v>95.2</v>
      </c>
      <c r="F376" s="13">
        <f>18100+1134.8+430+1100</f>
        <v>20764.8</v>
      </c>
      <c r="G376" s="13">
        <f>133.5+107.5</f>
        <v>241</v>
      </c>
      <c r="H376" s="13">
        <f>133.5+107.5</f>
        <v>241</v>
      </c>
      <c r="I376" s="13">
        <f t="shared" si="24"/>
        <v>0</v>
      </c>
      <c r="J376" s="13">
        <f>H376/G376*100</f>
        <v>100</v>
      </c>
      <c r="K376" s="13">
        <f>H376/F376*100</f>
        <v>1.1606179688703961</v>
      </c>
      <c r="L376" s="13">
        <f t="shared" si="25"/>
        <v>145.8</v>
      </c>
      <c r="M376" s="13">
        <f t="shared" si="28"/>
        <v>253.15126050420167</v>
      </c>
    </row>
    <row r="377" spans="1:13" ht="15.75" customHeight="1" hidden="1">
      <c r="A377" s="137"/>
      <c r="B377" s="114"/>
      <c r="C377" s="18" t="s">
        <v>69</v>
      </c>
      <c r="D377" s="21" t="s">
        <v>70</v>
      </c>
      <c r="E377" s="13"/>
      <c r="F377" s="13"/>
      <c r="G377" s="13"/>
      <c r="H377" s="13"/>
      <c r="I377" s="13">
        <f t="shared" si="24"/>
        <v>0</v>
      </c>
      <c r="J377" s="13"/>
      <c r="K377" s="13"/>
      <c r="L377" s="13">
        <f t="shared" si="25"/>
        <v>0</v>
      </c>
      <c r="M377" s="13" t="e">
        <f t="shared" si="28"/>
        <v>#DIV/0!</v>
      </c>
    </row>
    <row r="378" spans="1:13" ht="15.75" customHeight="1" hidden="1">
      <c r="A378" s="137"/>
      <c r="B378" s="114"/>
      <c r="C378" s="18" t="s">
        <v>51</v>
      </c>
      <c r="D378" s="20" t="s">
        <v>46</v>
      </c>
      <c r="E378" s="13">
        <v>-384.6</v>
      </c>
      <c r="F378" s="13"/>
      <c r="G378" s="13"/>
      <c r="H378" s="13">
        <v>-800.31</v>
      </c>
      <c r="I378" s="13">
        <f t="shared" si="24"/>
        <v>-800.31</v>
      </c>
      <c r="J378" s="13"/>
      <c r="K378" s="13"/>
      <c r="L378" s="13">
        <f t="shared" si="25"/>
        <v>-415.7099999999999</v>
      </c>
      <c r="M378" s="13">
        <f t="shared" si="28"/>
        <v>208.08892355694226</v>
      </c>
    </row>
    <row r="379" spans="1:13" s="28" customFormat="1" ht="47.25" hidden="1">
      <c r="A379" s="137"/>
      <c r="B379" s="114"/>
      <c r="C379" s="36"/>
      <c r="D379" s="26" t="s">
        <v>56</v>
      </c>
      <c r="E379" s="27">
        <f>E380-E378</f>
        <v>95.19999999999999</v>
      </c>
      <c r="F379" s="27">
        <f>F380-F378</f>
        <v>20764.8</v>
      </c>
      <c r="G379" s="27">
        <f>G380-G378</f>
        <v>241</v>
      </c>
      <c r="H379" s="27">
        <f>H380-H378</f>
        <v>241</v>
      </c>
      <c r="I379" s="13">
        <f t="shared" si="24"/>
        <v>0</v>
      </c>
      <c r="J379" s="13">
        <f>H379/G379*100</f>
        <v>100</v>
      </c>
      <c r="K379" s="27">
        <f>H379/F379*100</f>
        <v>1.1606179688703961</v>
      </c>
      <c r="L379" s="13">
        <f t="shared" si="25"/>
        <v>145.8</v>
      </c>
      <c r="M379" s="13">
        <f t="shared" si="28"/>
        <v>253.1512605042017</v>
      </c>
    </row>
    <row r="380" spans="1:13" s="33" customFormat="1" ht="15.75" hidden="1">
      <c r="A380" s="137"/>
      <c r="B380" s="114"/>
      <c r="C380" s="45"/>
      <c r="D380" s="31" t="s">
        <v>77</v>
      </c>
      <c r="E380" s="43">
        <f>SUM(E370:E378)-E372</f>
        <v>-289.40000000000003</v>
      </c>
      <c r="F380" s="43">
        <f>SUM(F370:F378)-F372</f>
        <v>20764.8</v>
      </c>
      <c r="G380" s="43">
        <f>SUM(G370:G378)-G372</f>
        <v>241</v>
      </c>
      <c r="H380" s="43">
        <f>SUM(H370:H378)-H372</f>
        <v>-559.31</v>
      </c>
      <c r="I380" s="32">
        <f t="shared" si="24"/>
        <v>-800.31</v>
      </c>
      <c r="J380" s="32">
        <f>H380/G380*100</f>
        <v>-232.0788381742738</v>
      </c>
      <c r="K380" s="32">
        <f>H380/F380*100</f>
        <v>-2.6935486977962704</v>
      </c>
      <c r="L380" s="32">
        <f t="shared" si="25"/>
        <v>-269.9099999999999</v>
      </c>
      <c r="M380" s="32">
        <f t="shared" si="28"/>
        <v>193.26537664132684</v>
      </c>
    </row>
    <row r="381" spans="1:13" s="28" customFormat="1" ht="31.5" customHeight="1" hidden="1">
      <c r="A381" s="128" t="s">
        <v>177</v>
      </c>
      <c r="B381" s="130" t="s">
        <v>178</v>
      </c>
      <c r="C381" s="18" t="s">
        <v>27</v>
      </c>
      <c r="D381" s="22" t="s">
        <v>28</v>
      </c>
      <c r="E381" s="39"/>
      <c r="F381" s="40"/>
      <c r="G381" s="40"/>
      <c r="H381" s="39"/>
      <c r="I381" s="13">
        <f t="shared" si="24"/>
        <v>0</v>
      </c>
      <c r="J381" s="13"/>
      <c r="K381" s="13"/>
      <c r="L381" s="13">
        <f t="shared" si="25"/>
        <v>0</v>
      </c>
      <c r="M381" s="13"/>
    </row>
    <row r="382" spans="1:13" s="28" customFormat="1" ht="31.5" customHeight="1" hidden="1">
      <c r="A382" s="132"/>
      <c r="B382" s="134"/>
      <c r="C382" s="16" t="s">
        <v>29</v>
      </c>
      <c r="D382" s="23" t="s">
        <v>30</v>
      </c>
      <c r="E382" s="39"/>
      <c r="F382" s="40"/>
      <c r="G382" s="40"/>
      <c r="H382" s="39"/>
      <c r="I382" s="13">
        <f t="shared" si="24"/>
        <v>0</v>
      </c>
      <c r="J382" s="13"/>
      <c r="K382" s="13"/>
      <c r="L382" s="13">
        <f t="shared" si="25"/>
        <v>0</v>
      </c>
      <c r="M382" s="13"/>
    </row>
    <row r="383" spans="1:13" s="28" customFormat="1" ht="15.75" customHeight="1" hidden="1">
      <c r="A383" s="133"/>
      <c r="B383" s="133"/>
      <c r="C383" s="18" t="s">
        <v>35</v>
      </c>
      <c r="D383" s="20" t="s">
        <v>36</v>
      </c>
      <c r="E383" s="39">
        <f>E384</f>
        <v>0</v>
      </c>
      <c r="F383" s="39">
        <f>F384</f>
        <v>0</v>
      </c>
      <c r="G383" s="39">
        <f>G384</f>
        <v>0</v>
      </c>
      <c r="H383" s="39">
        <f>H384</f>
        <v>0</v>
      </c>
      <c r="I383" s="13">
        <f t="shared" si="24"/>
        <v>0</v>
      </c>
      <c r="J383" s="13"/>
      <c r="K383" s="13"/>
      <c r="L383" s="13">
        <f t="shared" si="25"/>
        <v>0</v>
      </c>
      <c r="M383" s="13"/>
    </row>
    <row r="384" spans="1:13" s="28" customFormat="1" ht="47.25" customHeight="1" hidden="1">
      <c r="A384" s="133"/>
      <c r="B384" s="133"/>
      <c r="C384" s="16" t="s">
        <v>39</v>
      </c>
      <c r="D384" s="21" t="s">
        <v>40</v>
      </c>
      <c r="E384" s="13"/>
      <c r="F384" s="13"/>
      <c r="G384" s="13"/>
      <c r="H384" s="13"/>
      <c r="I384" s="13">
        <f t="shared" si="24"/>
        <v>0</v>
      </c>
      <c r="J384" s="13"/>
      <c r="K384" s="13"/>
      <c r="L384" s="13">
        <f t="shared" si="25"/>
        <v>0</v>
      </c>
      <c r="M384" s="13"/>
    </row>
    <row r="385" spans="1:13" s="28" customFormat="1" ht="15.75" hidden="1">
      <c r="A385" s="133"/>
      <c r="B385" s="133"/>
      <c r="C385" s="18" t="s">
        <v>41</v>
      </c>
      <c r="D385" s="20" t="s">
        <v>42</v>
      </c>
      <c r="E385" s="39"/>
      <c r="F385" s="40"/>
      <c r="G385" s="40"/>
      <c r="H385" s="39"/>
      <c r="I385" s="13">
        <f t="shared" si="24"/>
        <v>0</v>
      </c>
      <c r="J385" s="13"/>
      <c r="K385" s="13"/>
      <c r="L385" s="13">
        <f t="shared" si="25"/>
        <v>0</v>
      </c>
      <c r="M385" s="13"/>
    </row>
    <row r="386" spans="1:13" s="28" customFormat="1" ht="31.5" hidden="1">
      <c r="A386" s="133"/>
      <c r="B386" s="133"/>
      <c r="C386" s="18" t="s">
        <v>43</v>
      </c>
      <c r="D386" s="20" t="s">
        <v>44</v>
      </c>
      <c r="E386" s="39"/>
      <c r="F386" s="40"/>
      <c r="G386" s="40"/>
      <c r="H386" s="39"/>
      <c r="I386" s="13">
        <f t="shared" si="24"/>
        <v>0</v>
      </c>
      <c r="J386" s="13"/>
      <c r="K386" s="13"/>
      <c r="L386" s="13">
        <f t="shared" si="25"/>
        <v>0</v>
      </c>
      <c r="M386" s="13"/>
    </row>
    <row r="387" spans="1:13" s="28" customFormat="1" ht="15.75" customHeight="1" hidden="1">
      <c r="A387" s="133"/>
      <c r="B387" s="133"/>
      <c r="C387" s="18" t="s">
        <v>45</v>
      </c>
      <c r="D387" s="20" t="s">
        <v>46</v>
      </c>
      <c r="E387" s="48"/>
      <c r="F387" s="40"/>
      <c r="G387" s="40"/>
      <c r="H387" s="39"/>
      <c r="I387" s="13">
        <f t="shared" si="24"/>
        <v>0</v>
      </c>
      <c r="J387" s="13"/>
      <c r="K387" s="13"/>
      <c r="L387" s="13">
        <f t="shared" si="25"/>
        <v>0</v>
      </c>
      <c r="M387" s="13">
        <f>H387/E391*100</f>
        <v>0</v>
      </c>
    </row>
    <row r="388" spans="1:13" ht="15.75" hidden="1">
      <c r="A388" s="133"/>
      <c r="B388" s="133"/>
      <c r="C388" s="18" t="s">
        <v>47</v>
      </c>
      <c r="D388" s="20" t="s">
        <v>132</v>
      </c>
      <c r="E388" s="39"/>
      <c r="F388" s="39"/>
      <c r="G388" s="39"/>
      <c r="H388" s="39"/>
      <c r="I388" s="13">
        <f t="shared" si="24"/>
        <v>0</v>
      </c>
      <c r="J388" s="13"/>
      <c r="K388" s="13"/>
      <c r="L388" s="13">
        <f t="shared" si="25"/>
        <v>0</v>
      </c>
      <c r="M388" s="13"/>
    </row>
    <row r="389" spans="1:13" ht="31.5" hidden="1">
      <c r="A389" s="133"/>
      <c r="B389" s="133"/>
      <c r="C389" s="18" t="s">
        <v>49</v>
      </c>
      <c r="D389" s="20" t="s">
        <v>50</v>
      </c>
      <c r="E389" s="39"/>
      <c r="F389" s="39">
        <v>3000</v>
      </c>
      <c r="G389" s="39"/>
      <c r="H389" s="39"/>
      <c r="I389" s="13">
        <f t="shared" si="24"/>
        <v>0</v>
      </c>
      <c r="J389" s="13"/>
      <c r="K389" s="13">
        <f>H389/F389*100</f>
        <v>0</v>
      </c>
      <c r="L389" s="13">
        <f t="shared" si="25"/>
        <v>0</v>
      </c>
      <c r="M389" s="13"/>
    </row>
    <row r="390" spans="1:13" ht="15.75" customHeight="1" hidden="1">
      <c r="A390" s="133"/>
      <c r="B390" s="133"/>
      <c r="C390" s="18" t="s">
        <v>69</v>
      </c>
      <c r="D390" s="21" t="s">
        <v>70</v>
      </c>
      <c r="E390" s="39"/>
      <c r="F390" s="39"/>
      <c r="G390" s="39"/>
      <c r="H390" s="39"/>
      <c r="I390" s="13">
        <f t="shared" si="24"/>
        <v>0</v>
      </c>
      <c r="J390" s="13"/>
      <c r="K390" s="13"/>
      <c r="L390" s="13">
        <f t="shared" si="25"/>
        <v>0</v>
      </c>
      <c r="M390" s="13"/>
    </row>
    <row r="391" spans="1:13" ht="15.75" customHeight="1" hidden="1">
      <c r="A391" s="133"/>
      <c r="B391" s="133"/>
      <c r="C391" s="18" t="s">
        <v>51</v>
      </c>
      <c r="D391" s="20" t="s">
        <v>46</v>
      </c>
      <c r="E391" s="39">
        <v>-182.8</v>
      </c>
      <c r="F391" s="39"/>
      <c r="G391" s="39"/>
      <c r="H391" s="39">
        <v>-273.24</v>
      </c>
      <c r="I391" s="13">
        <f t="shared" si="24"/>
        <v>-273.24</v>
      </c>
      <c r="J391" s="13"/>
      <c r="K391" s="13"/>
      <c r="L391" s="13">
        <f t="shared" si="25"/>
        <v>-90.44</v>
      </c>
      <c r="M391" s="13">
        <f>H391/E391*100</f>
        <v>149.47483588621444</v>
      </c>
    </row>
    <row r="392" spans="1:13" ht="47.25" hidden="1">
      <c r="A392" s="133"/>
      <c r="B392" s="133"/>
      <c r="C392" s="18"/>
      <c r="D392" s="26" t="s">
        <v>56</v>
      </c>
      <c r="E392" s="40">
        <f>E393-E391</f>
        <v>0</v>
      </c>
      <c r="F392" s="40">
        <f>F393-F391</f>
        <v>3000</v>
      </c>
      <c r="G392" s="40">
        <f>G393-G391</f>
        <v>0</v>
      </c>
      <c r="H392" s="40">
        <f>H393-H391</f>
        <v>0</v>
      </c>
      <c r="I392" s="13">
        <f t="shared" si="24"/>
        <v>0</v>
      </c>
      <c r="J392" s="13"/>
      <c r="K392" s="27">
        <f>H392/F392*100</f>
        <v>0</v>
      </c>
      <c r="L392" s="13">
        <f t="shared" si="25"/>
        <v>0</v>
      </c>
      <c r="M392" s="13"/>
    </row>
    <row r="393" spans="1:13" s="33" customFormat="1" ht="15.75" hidden="1">
      <c r="A393" s="129"/>
      <c r="B393" s="129"/>
      <c r="C393" s="45"/>
      <c r="D393" s="31" t="s">
        <v>77</v>
      </c>
      <c r="E393" s="43">
        <f>SUM(E381:E383,E385:E391)</f>
        <v>-182.8</v>
      </c>
      <c r="F393" s="43">
        <f>SUM(F381:F383,F385:F391)</f>
        <v>3000</v>
      </c>
      <c r="G393" s="43">
        <f>SUM(G381:G383,G385:G391)</f>
        <v>0</v>
      </c>
      <c r="H393" s="43">
        <f>SUM(H381:H383,H385:H391)</f>
        <v>-273.24</v>
      </c>
      <c r="I393" s="32">
        <f t="shared" si="24"/>
        <v>-273.24</v>
      </c>
      <c r="J393" s="32"/>
      <c r="K393" s="32">
        <f>H393/F393*100</f>
        <v>-9.108</v>
      </c>
      <c r="L393" s="32">
        <f t="shared" si="25"/>
        <v>-90.44</v>
      </c>
      <c r="M393" s="32">
        <f>H393/E393*100</f>
        <v>149.47483588621444</v>
      </c>
    </row>
    <row r="394" spans="1:13" s="28" customFormat="1" ht="31.5" customHeight="1" hidden="1">
      <c r="A394" s="130">
        <v>977</v>
      </c>
      <c r="B394" s="130" t="s">
        <v>179</v>
      </c>
      <c r="C394" s="18" t="s">
        <v>27</v>
      </c>
      <c r="D394" s="22" t="s">
        <v>28</v>
      </c>
      <c r="E394" s="39"/>
      <c r="F394" s="39"/>
      <c r="G394" s="39"/>
      <c r="H394" s="39"/>
      <c r="I394" s="13">
        <f t="shared" si="24"/>
        <v>0</v>
      </c>
      <c r="J394" s="13"/>
      <c r="K394" s="13"/>
      <c r="L394" s="13">
        <f t="shared" si="25"/>
        <v>0</v>
      </c>
      <c r="M394" s="13"/>
    </row>
    <row r="395" spans="1:13" s="28" customFormat="1" ht="15.75" hidden="1">
      <c r="A395" s="134"/>
      <c r="B395" s="134"/>
      <c r="C395" s="18" t="s">
        <v>35</v>
      </c>
      <c r="D395" s="20" t="s">
        <v>36</v>
      </c>
      <c r="E395" s="39">
        <f>E396+E397</f>
        <v>0</v>
      </c>
      <c r="F395" s="39">
        <f>F396+F397</f>
        <v>0</v>
      </c>
      <c r="G395" s="39">
        <f>G396+G397</f>
        <v>0</v>
      </c>
      <c r="H395" s="39">
        <f>H396+H397</f>
        <v>0</v>
      </c>
      <c r="I395" s="13">
        <f t="shared" si="24"/>
        <v>0</v>
      </c>
      <c r="J395" s="13"/>
      <c r="K395" s="13"/>
      <c r="L395" s="13">
        <f t="shared" si="25"/>
        <v>0</v>
      </c>
      <c r="M395" s="13"/>
    </row>
    <row r="396" spans="1:13" s="28" customFormat="1" ht="31.5" customHeight="1" hidden="1">
      <c r="A396" s="134"/>
      <c r="B396" s="134"/>
      <c r="C396" s="16" t="s">
        <v>60</v>
      </c>
      <c r="D396" s="21" t="s">
        <v>61</v>
      </c>
      <c r="E396" s="39"/>
      <c r="F396" s="39"/>
      <c r="G396" s="39"/>
      <c r="H396" s="39"/>
      <c r="I396" s="13">
        <f t="shared" si="24"/>
        <v>0</v>
      </c>
      <c r="J396" s="13"/>
      <c r="K396" s="13"/>
      <c r="L396" s="13">
        <f t="shared" si="25"/>
        <v>0</v>
      </c>
      <c r="M396" s="13"/>
    </row>
    <row r="397" spans="1:13" s="28" customFormat="1" ht="48" customHeight="1" hidden="1">
      <c r="A397" s="134"/>
      <c r="B397" s="134"/>
      <c r="C397" s="16" t="s">
        <v>39</v>
      </c>
      <c r="D397" s="21" t="s">
        <v>40</v>
      </c>
      <c r="E397" s="39"/>
      <c r="F397" s="39"/>
      <c r="G397" s="39"/>
      <c r="H397" s="39"/>
      <c r="I397" s="13">
        <f aca="true" t="shared" si="29" ref="I397:I457">H397-G397</f>
        <v>0</v>
      </c>
      <c r="J397" s="13"/>
      <c r="K397" s="13"/>
      <c r="L397" s="13">
        <f t="shared" si="25"/>
        <v>0</v>
      </c>
      <c r="M397" s="13" t="e">
        <f>H397/E397*100</f>
        <v>#DIV/0!</v>
      </c>
    </row>
    <row r="398" spans="1:13" s="28" customFormat="1" ht="15.75" hidden="1">
      <c r="A398" s="134"/>
      <c r="B398" s="134"/>
      <c r="C398" s="18" t="s">
        <v>41</v>
      </c>
      <c r="D398" s="20" t="s">
        <v>42</v>
      </c>
      <c r="E398" s="39"/>
      <c r="F398" s="39"/>
      <c r="G398" s="39"/>
      <c r="H398" s="39">
        <v>7.82</v>
      </c>
      <c r="I398" s="13">
        <f t="shared" si="29"/>
        <v>7.82</v>
      </c>
      <c r="J398" s="13"/>
      <c r="K398" s="13"/>
      <c r="L398" s="13">
        <f t="shared" si="25"/>
        <v>7.82</v>
      </c>
      <c r="M398" s="13"/>
    </row>
    <row r="399" spans="1:13" s="28" customFormat="1" ht="15.75" hidden="1">
      <c r="A399" s="134"/>
      <c r="B399" s="134"/>
      <c r="C399" s="18"/>
      <c r="D399" s="26" t="s">
        <v>52</v>
      </c>
      <c r="E399" s="40">
        <f>SUM(E394,E395,E398)</f>
        <v>0</v>
      </c>
      <c r="F399" s="40">
        <f>SUM(F394,F395,F398)</f>
        <v>0</v>
      </c>
      <c r="G399" s="40">
        <f>SUM(G394,G395,G398)</f>
        <v>0</v>
      </c>
      <c r="H399" s="40">
        <f>SUM(H394,H395,H398)</f>
        <v>7.82</v>
      </c>
      <c r="I399" s="13">
        <f t="shared" si="29"/>
        <v>7.82</v>
      </c>
      <c r="J399" s="13"/>
      <c r="K399" s="27"/>
      <c r="L399" s="13">
        <f t="shared" si="25"/>
        <v>7.82</v>
      </c>
      <c r="M399" s="13"/>
    </row>
    <row r="400" spans="1:13" s="28" customFormat="1" ht="15.75" customHeight="1" hidden="1">
      <c r="A400" s="134"/>
      <c r="B400" s="134"/>
      <c r="C400" s="18" t="s">
        <v>35</v>
      </c>
      <c r="D400" s="20" t="s">
        <v>36</v>
      </c>
      <c r="E400" s="39">
        <f>E401</f>
        <v>0</v>
      </c>
      <c r="F400" s="39">
        <f>F401</f>
        <v>0</v>
      </c>
      <c r="G400" s="39">
        <f>G401</f>
        <v>0</v>
      </c>
      <c r="H400" s="39">
        <f>H401</f>
        <v>0</v>
      </c>
      <c r="I400" s="13">
        <f t="shared" si="29"/>
        <v>0</v>
      </c>
      <c r="J400" s="13"/>
      <c r="K400" s="13"/>
      <c r="L400" s="13">
        <f aca="true" t="shared" si="30" ref="L400:L457">H400-E400</f>
        <v>0</v>
      </c>
      <c r="M400" s="13"/>
    </row>
    <row r="401" spans="1:13" s="28" customFormat="1" ht="63" hidden="1">
      <c r="A401" s="134"/>
      <c r="B401" s="134"/>
      <c r="C401" s="18" t="s">
        <v>75</v>
      </c>
      <c r="D401" s="24" t="s">
        <v>76</v>
      </c>
      <c r="E401" s="39"/>
      <c r="F401" s="39"/>
      <c r="G401" s="39"/>
      <c r="H401" s="39"/>
      <c r="I401" s="13">
        <f t="shared" si="29"/>
        <v>0</v>
      </c>
      <c r="J401" s="13"/>
      <c r="K401" s="13"/>
      <c r="L401" s="13">
        <f t="shared" si="30"/>
        <v>0</v>
      </c>
      <c r="M401" s="13"/>
    </row>
    <row r="402" spans="1:13" s="28" customFormat="1" ht="16.5" customHeight="1" hidden="1">
      <c r="A402" s="134"/>
      <c r="B402" s="134"/>
      <c r="C402" s="36"/>
      <c r="D402" s="26" t="s">
        <v>55</v>
      </c>
      <c r="E402" s="40">
        <f>E400</f>
        <v>0</v>
      </c>
      <c r="F402" s="40">
        <f>F400</f>
        <v>0</v>
      </c>
      <c r="G402" s="40">
        <f>G400</f>
        <v>0</v>
      </c>
      <c r="H402" s="40">
        <f>H400</f>
        <v>0</v>
      </c>
      <c r="I402" s="13">
        <f t="shared" si="29"/>
        <v>0</v>
      </c>
      <c r="J402" s="13"/>
      <c r="K402" s="27"/>
      <c r="L402" s="13">
        <f t="shared" si="30"/>
        <v>0</v>
      </c>
      <c r="M402" s="13"/>
    </row>
    <row r="403" spans="1:13" s="33" customFormat="1" ht="18" customHeight="1" hidden="1">
      <c r="A403" s="136"/>
      <c r="B403" s="136"/>
      <c r="C403" s="30"/>
      <c r="D403" s="31" t="s">
        <v>77</v>
      </c>
      <c r="E403" s="43">
        <f>E399+E402</f>
        <v>0</v>
      </c>
      <c r="F403" s="43">
        <f>F399+F402</f>
        <v>0</v>
      </c>
      <c r="G403" s="43">
        <f>G399+G402</f>
        <v>0</v>
      </c>
      <c r="H403" s="43">
        <f>H399+H402</f>
        <v>7.82</v>
      </c>
      <c r="I403" s="32">
        <f t="shared" si="29"/>
        <v>7.82</v>
      </c>
      <c r="J403" s="32"/>
      <c r="K403" s="32"/>
      <c r="L403" s="32">
        <f t="shared" si="30"/>
        <v>7.82</v>
      </c>
      <c r="M403" s="32"/>
    </row>
    <row r="404" spans="1:13" s="28" customFormat="1" ht="18" customHeight="1" hidden="1">
      <c r="A404" s="130">
        <v>978</v>
      </c>
      <c r="B404" s="130" t="s">
        <v>180</v>
      </c>
      <c r="C404" s="18" t="s">
        <v>43</v>
      </c>
      <c r="D404" s="20" t="s">
        <v>181</v>
      </c>
      <c r="E404" s="39"/>
      <c r="F404" s="39"/>
      <c r="G404" s="39"/>
      <c r="H404" s="39"/>
      <c r="I404" s="13">
        <f t="shared" si="29"/>
        <v>0</v>
      </c>
      <c r="J404" s="13"/>
      <c r="K404" s="13"/>
      <c r="L404" s="13">
        <f t="shared" si="30"/>
        <v>0</v>
      </c>
      <c r="M404" s="13"/>
    </row>
    <row r="405" spans="1:13" s="33" customFormat="1" ht="27.75" customHeight="1" hidden="1">
      <c r="A405" s="136"/>
      <c r="B405" s="136"/>
      <c r="C405" s="30"/>
      <c r="D405" s="31" t="s">
        <v>77</v>
      </c>
      <c r="E405" s="43">
        <f>E404</f>
        <v>0</v>
      </c>
      <c r="F405" s="43">
        <f>F404</f>
        <v>0</v>
      </c>
      <c r="G405" s="43">
        <f>G404</f>
        <v>0</v>
      </c>
      <c r="H405" s="43">
        <f>H404</f>
        <v>0</v>
      </c>
      <c r="I405" s="52">
        <f t="shared" si="29"/>
        <v>0</v>
      </c>
      <c r="J405" s="52"/>
      <c r="K405" s="32"/>
      <c r="L405" s="52">
        <f t="shared" si="30"/>
        <v>0</v>
      </c>
      <c r="M405" s="52"/>
    </row>
    <row r="406" spans="1:13" s="28" customFormat="1" ht="18" customHeight="1" hidden="1">
      <c r="A406" s="130">
        <v>985</v>
      </c>
      <c r="B406" s="130" t="s">
        <v>182</v>
      </c>
      <c r="C406" s="18" t="s">
        <v>27</v>
      </c>
      <c r="D406" s="22" t="s">
        <v>28</v>
      </c>
      <c r="E406" s="39"/>
      <c r="F406" s="39"/>
      <c r="G406" s="39"/>
      <c r="H406" s="39"/>
      <c r="I406" s="13">
        <f t="shared" si="29"/>
        <v>0</v>
      </c>
      <c r="J406" s="13"/>
      <c r="K406" s="13"/>
      <c r="L406" s="13">
        <f t="shared" si="30"/>
        <v>0</v>
      </c>
      <c r="M406" s="13"/>
    </row>
    <row r="407" spans="1:13" s="28" customFormat="1" ht="18" customHeight="1" hidden="1">
      <c r="A407" s="134"/>
      <c r="B407" s="134"/>
      <c r="C407" s="18" t="s">
        <v>41</v>
      </c>
      <c r="D407" s="20" t="s">
        <v>42</v>
      </c>
      <c r="E407" s="39"/>
      <c r="F407" s="39"/>
      <c r="G407" s="39"/>
      <c r="H407" s="39"/>
      <c r="I407" s="13">
        <f t="shared" si="29"/>
        <v>0</v>
      </c>
      <c r="J407" s="13"/>
      <c r="K407" s="13"/>
      <c r="L407" s="13">
        <f t="shared" si="30"/>
        <v>0</v>
      </c>
      <c r="M407" s="13"/>
    </row>
    <row r="408" spans="1:13" s="28" customFormat="1" ht="31.5" customHeight="1" hidden="1">
      <c r="A408" s="134"/>
      <c r="B408" s="134"/>
      <c r="C408" s="18" t="s">
        <v>49</v>
      </c>
      <c r="D408" s="20" t="s">
        <v>50</v>
      </c>
      <c r="E408" s="39"/>
      <c r="F408" s="39">
        <v>150</v>
      </c>
      <c r="G408" s="39"/>
      <c r="H408" s="39"/>
      <c r="I408" s="13">
        <f t="shared" si="29"/>
        <v>0</v>
      </c>
      <c r="J408" s="13"/>
      <c r="K408" s="13">
        <f>H408/F408*100</f>
        <v>0</v>
      </c>
      <c r="L408" s="13">
        <f t="shared" si="30"/>
        <v>0</v>
      </c>
      <c r="M408" s="13"/>
    </row>
    <row r="409" spans="1:13" s="33" customFormat="1" ht="27.75" customHeight="1" hidden="1">
      <c r="A409" s="136"/>
      <c r="B409" s="136"/>
      <c r="C409" s="30"/>
      <c r="D409" s="31" t="s">
        <v>77</v>
      </c>
      <c r="E409" s="43">
        <f>E406+E407+E408</f>
        <v>0</v>
      </c>
      <c r="F409" s="43">
        <f>F406+F407+F408</f>
        <v>150</v>
      </c>
      <c r="G409" s="43">
        <f>G406+G407+G408</f>
        <v>0</v>
      </c>
      <c r="H409" s="43">
        <f>H406+H407+H408</f>
        <v>0</v>
      </c>
      <c r="I409" s="32">
        <f t="shared" si="29"/>
        <v>0</v>
      </c>
      <c r="J409" s="32"/>
      <c r="K409" s="32">
        <f>H409/F409*100</f>
        <v>0</v>
      </c>
      <c r="L409" s="32">
        <f t="shared" si="30"/>
        <v>0</v>
      </c>
      <c r="M409" s="32"/>
    </row>
    <row r="410" spans="1:13" s="28" customFormat="1" ht="97.5" customHeight="1" hidden="1">
      <c r="A410" s="128" t="s">
        <v>183</v>
      </c>
      <c r="B410" s="130" t="s">
        <v>184</v>
      </c>
      <c r="C410" s="16" t="s">
        <v>25</v>
      </c>
      <c r="D410" s="21" t="s">
        <v>128</v>
      </c>
      <c r="E410" s="39">
        <v>3843.2</v>
      </c>
      <c r="F410" s="39">
        <v>43279.1</v>
      </c>
      <c r="G410" s="39">
        <v>3624.14</v>
      </c>
      <c r="H410" s="39">
        <v>2817.72</v>
      </c>
      <c r="I410" s="13">
        <f t="shared" si="29"/>
        <v>-806.4200000000001</v>
      </c>
      <c r="J410" s="13">
        <f>H410/G410*100</f>
        <v>77.74865209401402</v>
      </c>
      <c r="K410" s="13">
        <f>H410/F410*100</f>
        <v>6.510579009267753</v>
      </c>
      <c r="L410" s="13">
        <f t="shared" si="30"/>
        <v>-1025.48</v>
      </c>
      <c r="M410" s="13">
        <f>H410/E410*100</f>
        <v>73.31702747710241</v>
      </c>
    </row>
    <row r="411" spans="1:13" s="28" customFormat="1" ht="31.5" hidden="1">
      <c r="A411" s="132"/>
      <c r="B411" s="134"/>
      <c r="C411" s="18" t="s">
        <v>27</v>
      </c>
      <c r="D411" s="22" t="s">
        <v>28</v>
      </c>
      <c r="E411" s="39"/>
      <c r="F411" s="39"/>
      <c r="G411" s="39"/>
      <c r="H411" s="39"/>
      <c r="I411" s="13">
        <f t="shared" si="29"/>
        <v>0</v>
      </c>
      <c r="J411" s="13"/>
      <c r="K411" s="13"/>
      <c r="L411" s="13">
        <f t="shared" si="30"/>
        <v>0</v>
      </c>
      <c r="M411" s="13"/>
    </row>
    <row r="412" spans="1:13" s="28" customFormat="1" ht="15.75" customHeight="1" hidden="1">
      <c r="A412" s="133"/>
      <c r="B412" s="133"/>
      <c r="C412" s="18" t="s">
        <v>113</v>
      </c>
      <c r="D412" s="20" t="s">
        <v>114</v>
      </c>
      <c r="E412" s="39"/>
      <c r="F412" s="39">
        <v>389.3</v>
      </c>
      <c r="G412" s="39"/>
      <c r="H412" s="39">
        <v>65.75</v>
      </c>
      <c r="I412" s="13">
        <f t="shared" si="29"/>
        <v>65.75</v>
      </c>
      <c r="J412" s="13"/>
      <c r="K412" s="13">
        <f>H412/F412*100</f>
        <v>16.889288466478295</v>
      </c>
      <c r="L412" s="13">
        <f t="shared" si="30"/>
        <v>65.75</v>
      </c>
      <c r="M412" s="13"/>
    </row>
    <row r="413" spans="1:13" s="28" customFormat="1" ht="15.75" customHeight="1" hidden="1">
      <c r="A413" s="133"/>
      <c r="B413" s="133"/>
      <c r="C413" s="18" t="s">
        <v>35</v>
      </c>
      <c r="D413" s="20" t="s">
        <v>36</v>
      </c>
      <c r="E413" s="39">
        <f>E414</f>
        <v>0</v>
      </c>
      <c r="F413" s="39">
        <f>F414</f>
        <v>0</v>
      </c>
      <c r="G413" s="39">
        <f>G414</f>
        <v>0</v>
      </c>
      <c r="H413" s="39">
        <f>H414</f>
        <v>0</v>
      </c>
      <c r="I413" s="13">
        <f t="shared" si="29"/>
        <v>0</v>
      </c>
      <c r="J413" s="13"/>
      <c r="K413" s="13"/>
      <c r="L413" s="13">
        <f t="shared" si="30"/>
        <v>0</v>
      </c>
      <c r="M413" s="13"/>
    </row>
    <row r="414" spans="1:13" s="28" customFormat="1" ht="15.75" customHeight="1" hidden="1">
      <c r="A414" s="133"/>
      <c r="B414" s="133"/>
      <c r="C414" s="16" t="s">
        <v>39</v>
      </c>
      <c r="D414" s="21" t="s">
        <v>40</v>
      </c>
      <c r="E414" s="39"/>
      <c r="F414" s="39"/>
      <c r="G414" s="39"/>
      <c r="H414" s="39"/>
      <c r="I414" s="13">
        <f t="shared" si="29"/>
        <v>0</v>
      </c>
      <c r="J414" s="13"/>
      <c r="K414" s="13"/>
      <c r="L414" s="13">
        <f t="shared" si="30"/>
        <v>0</v>
      </c>
      <c r="M414" s="13"/>
    </row>
    <row r="415" spans="1:13" s="28" customFormat="1" ht="15.75" customHeight="1" hidden="1">
      <c r="A415" s="133"/>
      <c r="B415" s="133"/>
      <c r="C415" s="18" t="s">
        <v>41</v>
      </c>
      <c r="D415" s="20" t="s">
        <v>42</v>
      </c>
      <c r="E415" s="39"/>
      <c r="F415" s="39"/>
      <c r="G415" s="39"/>
      <c r="H415" s="39"/>
      <c r="I415" s="13">
        <f t="shared" si="29"/>
        <v>0</v>
      </c>
      <c r="J415" s="13"/>
      <c r="K415" s="13"/>
      <c r="L415" s="13">
        <f t="shared" si="30"/>
        <v>0</v>
      </c>
      <c r="M415" s="13"/>
    </row>
    <row r="416" spans="1:13" s="28" customFormat="1" ht="15.75" customHeight="1" hidden="1">
      <c r="A416" s="133"/>
      <c r="B416" s="133"/>
      <c r="C416" s="18" t="s">
        <v>45</v>
      </c>
      <c r="D416" s="20" t="s">
        <v>46</v>
      </c>
      <c r="E416" s="48"/>
      <c r="F416" s="39"/>
      <c r="G416" s="39"/>
      <c r="H416" s="39"/>
      <c r="I416" s="13">
        <f t="shared" si="29"/>
        <v>0</v>
      </c>
      <c r="J416" s="13"/>
      <c r="K416" s="13"/>
      <c r="L416" s="13">
        <f t="shared" si="30"/>
        <v>0</v>
      </c>
      <c r="M416" s="13">
        <f>H416/E420*100</f>
        <v>0</v>
      </c>
    </row>
    <row r="417" spans="1:13" s="28" customFormat="1" ht="15.75" hidden="1">
      <c r="A417" s="133"/>
      <c r="B417" s="133"/>
      <c r="C417" s="18" t="s">
        <v>47</v>
      </c>
      <c r="D417" s="20" t="s">
        <v>48</v>
      </c>
      <c r="E417" s="13"/>
      <c r="F417" s="13">
        <v>54758.47</v>
      </c>
      <c r="G417" s="13"/>
      <c r="H417" s="13"/>
      <c r="I417" s="13">
        <f t="shared" si="29"/>
        <v>0</v>
      </c>
      <c r="J417" s="13"/>
      <c r="K417" s="13"/>
      <c r="L417" s="13">
        <f t="shared" si="30"/>
        <v>0</v>
      </c>
      <c r="M417" s="13"/>
    </row>
    <row r="418" spans="1:13" s="28" customFormat="1" ht="15.75" customHeight="1" hidden="1">
      <c r="A418" s="133"/>
      <c r="B418" s="133"/>
      <c r="C418" s="18" t="s">
        <v>49</v>
      </c>
      <c r="D418" s="20" t="s">
        <v>50</v>
      </c>
      <c r="E418" s="13"/>
      <c r="F418" s="39">
        <f>18.3+30+25048.8</f>
        <v>25097.1</v>
      </c>
      <c r="G418" s="39"/>
      <c r="H418" s="39"/>
      <c r="I418" s="13">
        <f t="shared" si="29"/>
        <v>0</v>
      </c>
      <c r="J418" s="13"/>
      <c r="K418" s="13">
        <f>H418/F418*100</f>
        <v>0</v>
      </c>
      <c r="L418" s="13">
        <f t="shared" si="30"/>
        <v>0</v>
      </c>
      <c r="M418" s="13"/>
    </row>
    <row r="419" spans="1:13" s="28" customFormat="1" ht="15.75" customHeight="1" hidden="1">
      <c r="A419" s="133"/>
      <c r="B419" s="133"/>
      <c r="C419" s="18" t="s">
        <v>69</v>
      </c>
      <c r="D419" s="21" t="s">
        <v>70</v>
      </c>
      <c r="E419" s="39"/>
      <c r="F419" s="39"/>
      <c r="G419" s="39"/>
      <c r="H419" s="39"/>
      <c r="I419" s="13">
        <f t="shared" si="29"/>
        <v>0</v>
      </c>
      <c r="J419" s="13"/>
      <c r="K419" s="13"/>
      <c r="L419" s="13">
        <f t="shared" si="30"/>
        <v>0</v>
      </c>
      <c r="M419" s="13"/>
    </row>
    <row r="420" spans="1:13" s="28" customFormat="1" ht="15.75" customHeight="1" hidden="1">
      <c r="A420" s="133"/>
      <c r="B420" s="133"/>
      <c r="C420" s="18" t="s">
        <v>51</v>
      </c>
      <c r="D420" s="20" t="s">
        <v>46</v>
      </c>
      <c r="E420" s="39">
        <v>-33228.1</v>
      </c>
      <c r="F420" s="39"/>
      <c r="G420" s="39"/>
      <c r="H420" s="39">
        <v>-78244.06</v>
      </c>
      <c r="I420" s="13">
        <f t="shared" si="29"/>
        <v>-78244.06</v>
      </c>
      <c r="J420" s="13"/>
      <c r="K420" s="13"/>
      <c r="L420" s="13">
        <f t="shared" si="30"/>
        <v>-45015.96</v>
      </c>
      <c r="M420" s="13">
        <f>H420/E420*100</f>
        <v>235.475576394678</v>
      </c>
    </row>
    <row r="421" spans="1:13" s="28" customFormat="1" ht="47.25" hidden="1">
      <c r="A421" s="133"/>
      <c r="B421" s="133"/>
      <c r="C421" s="36"/>
      <c r="D421" s="26" t="s">
        <v>56</v>
      </c>
      <c r="E421" s="40">
        <f>E422-E420</f>
        <v>3843.2000000000007</v>
      </c>
      <c r="F421" s="40">
        <f>F422-F420</f>
        <v>123523.97</v>
      </c>
      <c r="G421" s="40">
        <f>G422-G420</f>
        <v>3624.14</v>
      </c>
      <c r="H421" s="40">
        <f>H422-H420</f>
        <v>2883.470000000001</v>
      </c>
      <c r="I421" s="13">
        <f t="shared" si="29"/>
        <v>-740.6699999999987</v>
      </c>
      <c r="J421" s="13">
        <f>H421/G421*100</f>
        <v>79.56287560635079</v>
      </c>
      <c r="K421" s="27">
        <f>H421/F421*100</f>
        <v>2.3343404523024973</v>
      </c>
      <c r="L421" s="13">
        <f t="shared" si="30"/>
        <v>-959.7299999999996</v>
      </c>
      <c r="M421" s="13">
        <f>H421/E421*100</f>
        <v>75.02784138218152</v>
      </c>
    </row>
    <row r="422" spans="1:13" s="33" customFormat="1" ht="15.75" hidden="1">
      <c r="A422" s="129"/>
      <c r="B422" s="129"/>
      <c r="C422" s="45"/>
      <c r="D422" s="31" t="s">
        <v>77</v>
      </c>
      <c r="E422" s="43">
        <f>SUM(E410:E413,E415:E420)</f>
        <v>-29384.899999999998</v>
      </c>
      <c r="F422" s="43">
        <f>SUM(F410:F413,F415:F420)</f>
        <v>123523.97</v>
      </c>
      <c r="G422" s="43">
        <f>SUM(G410:G413,G415:G420)</f>
        <v>3624.14</v>
      </c>
      <c r="H422" s="43">
        <f>SUM(H410:H413,H415:H420)</f>
        <v>-75360.59</v>
      </c>
      <c r="I422" s="32">
        <f t="shared" si="29"/>
        <v>-78984.73</v>
      </c>
      <c r="J422" s="32">
        <f>H422/G422*100</f>
        <v>-2079.4061487690874</v>
      </c>
      <c r="K422" s="32">
        <f>H422/F422*100</f>
        <v>-61.00887949116272</v>
      </c>
      <c r="L422" s="32">
        <f t="shared" si="30"/>
        <v>-45975.69</v>
      </c>
      <c r="M422" s="32">
        <f>H422/E422*100</f>
        <v>256.4602567985598</v>
      </c>
    </row>
    <row r="423" spans="1:13" ht="84" customHeight="1" hidden="1">
      <c r="A423" s="128" t="s">
        <v>185</v>
      </c>
      <c r="B423" s="130" t="s">
        <v>186</v>
      </c>
      <c r="C423" s="16" t="s">
        <v>19</v>
      </c>
      <c r="D423" s="17" t="s">
        <v>20</v>
      </c>
      <c r="E423" s="13">
        <v>7518.9</v>
      </c>
      <c r="F423" s="13">
        <v>405179.2</v>
      </c>
      <c r="G423" s="13">
        <v>6391.07</v>
      </c>
      <c r="H423" s="13">
        <v>13817.77</v>
      </c>
      <c r="I423" s="13">
        <f t="shared" si="29"/>
        <v>7426.700000000001</v>
      </c>
      <c r="J423" s="13">
        <f>H423/G423*100</f>
        <v>216.20432885260215</v>
      </c>
      <c r="K423" s="13">
        <f>H423/F423*100</f>
        <v>3.4102861153780846</v>
      </c>
      <c r="L423" s="13">
        <f t="shared" si="30"/>
        <v>6298.870000000001</v>
      </c>
      <c r="M423" s="13">
        <f>H423/E423*100</f>
        <v>183.7738232986208</v>
      </c>
    </row>
    <row r="424" spans="1:13" ht="31.5" hidden="1">
      <c r="A424" s="132"/>
      <c r="B424" s="134"/>
      <c r="C424" s="18" t="s">
        <v>187</v>
      </c>
      <c r="D424" s="20" t="s">
        <v>188</v>
      </c>
      <c r="E424" s="13">
        <v>1.2</v>
      </c>
      <c r="F424" s="13">
        <v>37924.1</v>
      </c>
      <c r="G424" s="13"/>
      <c r="H424" s="13">
        <v>1236.24</v>
      </c>
      <c r="I424" s="13">
        <f t="shared" si="29"/>
        <v>1236.24</v>
      </c>
      <c r="J424" s="13"/>
      <c r="K424" s="13">
        <f>H424/F424*100</f>
        <v>3.2597741277973635</v>
      </c>
      <c r="L424" s="13">
        <f t="shared" si="30"/>
        <v>1235.04</v>
      </c>
      <c r="M424" s="13">
        <f>H424/E424*100</f>
        <v>103020</v>
      </c>
    </row>
    <row r="425" spans="1:13" ht="31.5" customHeight="1" hidden="1">
      <c r="A425" s="132"/>
      <c r="B425" s="134"/>
      <c r="C425" s="18" t="s">
        <v>27</v>
      </c>
      <c r="D425" s="22" t="s">
        <v>28</v>
      </c>
      <c r="E425" s="50"/>
      <c r="F425" s="13"/>
      <c r="G425" s="13"/>
      <c r="H425" s="13"/>
      <c r="I425" s="13">
        <f t="shared" si="29"/>
        <v>0</v>
      </c>
      <c r="J425" s="13"/>
      <c r="K425" s="13"/>
      <c r="L425" s="13">
        <f t="shared" si="30"/>
        <v>0</v>
      </c>
      <c r="M425" s="13"/>
    </row>
    <row r="426" spans="1:13" ht="64.5" customHeight="1" hidden="1">
      <c r="A426" s="132"/>
      <c r="B426" s="134"/>
      <c r="C426" s="16" t="s">
        <v>33</v>
      </c>
      <c r="D426" s="21" t="s">
        <v>34</v>
      </c>
      <c r="E426" s="13">
        <v>17572.3</v>
      </c>
      <c r="F426" s="13">
        <v>194210.3</v>
      </c>
      <c r="G426" s="13">
        <v>14478.31</v>
      </c>
      <c r="H426" s="13">
        <v>7194.39</v>
      </c>
      <c r="I426" s="13">
        <f t="shared" si="29"/>
        <v>-7283.919999999999</v>
      </c>
      <c r="J426" s="13">
        <f>H426/G426*100</f>
        <v>49.69081336150421</v>
      </c>
      <c r="K426" s="13">
        <f>H426/F426*100</f>
        <v>3.7044327721032304</v>
      </c>
      <c r="L426" s="13">
        <f t="shared" si="30"/>
        <v>-10377.91</v>
      </c>
      <c r="M426" s="13">
        <f>H426/E426*100</f>
        <v>40.94165248715308</v>
      </c>
    </row>
    <row r="427" spans="1:13" ht="15.75" hidden="1">
      <c r="A427" s="132"/>
      <c r="B427" s="134"/>
      <c r="C427" s="18" t="s">
        <v>41</v>
      </c>
      <c r="D427" s="20" t="s">
        <v>42</v>
      </c>
      <c r="E427" s="13">
        <v>-659.5</v>
      </c>
      <c r="F427" s="13"/>
      <c r="G427" s="13"/>
      <c r="H427" s="13">
        <v>101.54</v>
      </c>
      <c r="I427" s="13">
        <f t="shared" si="29"/>
        <v>101.54</v>
      </c>
      <c r="J427" s="13"/>
      <c r="K427" s="13"/>
      <c r="L427" s="13">
        <f t="shared" si="30"/>
        <v>761.04</v>
      </c>
      <c r="M427" s="13">
        <f>H427/E427*100</f>
        <v>-15.396512509476878</v>
      </c>
    </row>
    <row r="428" spans="1:13" ht="15.75" customHeight="1" hidden="1">
      <c r="A428" s="132"/>
      <c r="B428" s="134"/>
      <c r="C428" s="18" t="s">
        <v>43</v>
      </c>
      <c r="D428" s="20" t="s">
        <v>181</v>
      </c>
      <c r="E428" s="13"/>
      <c r="F428" s="13"/>
      <c r="G428" s="13"/>
      <c r="H428" s="13"/>
      <c r="I428" s="13">
        <f t="shared" si="29"/>
        <v>0</v>
      </c>
      <c r="J428" s="13"/>
      <c r="K428" s="13"/>
      <c r="L428" s="13">
        <f t="shared" si="30"/>
        <v>0</v>
      </c>
      <c r="M428" s="13"/>
    </row>
    <row r="429" spans="1:13" ht="31.5" hidden="1">
      <c r="A429" s="132"/>
      <c r="B429" s="134"/>
      <c r="C429" s="18" t="s">
        <v>49</v>
      </c>
      <c r="D429" s="20" t="s">
        <v>50</v>
      </c>
      <c r="E429" s="13"/>
      <c r="F429" s="13">
        <v>35</v>
      </c>
      <c r="G429" s="13"/>
      <c r="H429" s="13"/>
      <c r="I429" s="13">
        <f t="shared" si="29"/>
        <v>0</v>
      </c>
      <c r="J429" s="13"/>
      <c r="K429" s="13">
        <f>H429/F429*100</f>
        <v>0</v>
      </c>
      <c r="L429" s="13">
        <f t="shared" si="30"/>
        <v>0</v>
      </c>
      <c r="M429" s="13"/>
    </row>
    <row r="430" spans="1:13" s="28" customFormat="1" ht="15.75" hidden="1">
      <c r="A430" s="132"/>
      <c r="B430" s="134"/>
      <c r="C430" s="25"/>
      <c r="D430" s="26" t="s">
        <v>52</v>
      </c>
      <c r="E430" s="40">
        <f>SUM(E423:E429)</f>
        <v>24432.899999999998</v>
      </c>
      <c r="F430" s="40">
        <f>SUM(F423:F429)</f>
        <v>637348.6</v>
      </c>
      <c r="G430" s="40">
        <f>SUM(G423:G429)</f>
        <v>20869.379999999997</v>
      </c>
      <c r="H430" s="40">
        <f>SUM(H423:H429)</f>
        <v>22349.940000000002</v>
      </c>
      <c r="I430" s="13">
        <f t="shared" si="29"/>
        <v>1480.560000000005</v>
      </c>
      <c r="J430" s="13">
        <f>H430/G430*100</f>
        <v>107.09441296291506</v>
      </c>
      <c r="K430" s="27">
        <f>H430/F430*100</f>
        <v>3.5067057494124887</v>
      </c>
      <c r="L430" s="13">
        <f t="shared" si="30"/>
        <v>-2082.9599999999955</v>
      </c>
      <c r="M430" s="13">
        <f>H430/E430*100</f>
        <v>91.4747737681569</v>
      </c>
    </row>
    <row r="431" spans="1:13" ht="15.75" customHeight="1" hidden="1">
      <c r="A431" s="132"/>
      <c r="B431" s="134"/>
      <c r="C431" s="18" t="s">
        <v>189</v>
      </c>
      <c r="D431" s="20" t="s">
        <v>190</v>
      </c>
      <c r="E431" s="13">
        <v>7366.4</v>
      </c>
      <c r="F431" s="13">
        <v>53346</v>
      </c>
      <c r="G431" s="13">
        <v>6166.7</v>
      </c>
      <c r="H431" s="13">
        <v>8622.21</v>
      </c>
      <c r="I431" s="13">
        <f t="shared" si="29"/>
        <v>2455.5099999999993</v>
      </c>
      <c r="J431" s="13">
        <f>H431/G431*100</f>
        <v>139.8188658439684</v>
      </c>
      <c r="K431" s="13">
        <f>H431/F431*100</f>
        <v>16.1628050837926</v>
      </c>
      <c r="L431" s="13">
        <f t="shared" si="30"/>
        <v>1255.8099999999995</v>
      </c>
      <c r="M431" s="13">
        <f>H431/E431*100</f>
        <v>117.04781168549087</v>
      </c>
    </row>
    <row r="432" spans="1:13" ht="15.75" hidden="1">
      <c r="A432" s="132"/>
      <c r="B432" s="134"/>
      <c r="C432" s="18" t="s">
        <v>191</v>
      </c>
      <c r="D432" s="20" t="s">
        <v>192</v>
      </c>
      <c r="E432" s="13">
        <v>205566.6</v>
      </c>
      <c r="F432" s="13">
        <f>89234.5+3315250.5</f>
        <v>3404485</v>
      </c>
      <c r="G432" s="13">
        <f>7092.2+279605.8</f>
        <v>286698</v>
      </c>
      <c r="H432" s="13">
        <f>7668.64+310323.15</f>
        <v>317991.79000000004</v>
      </c>
      <c r="I432" s="13">
        <f t="shared" si="29"/>
        <v>31293.790000000037</v>
      </c>
      <c r="J432" s="13">
        <f>H432/G432*100</f>
        <v>110.91524531039632</v>
      </c>
      <c r="K432" s="13">
        <f>H432/F432*100</f>
        <v>9.340378647578122</v>
      </c>
      <c r="L432" s="13">
        <f t="shared" si="30"/>
        <v>112425.19000000003</v>
      </c>
      <c r="M432" s="13">
        <f>H432/E432*100</f>
        <v>154.69039717541665</v>
      </c>
    </row>
    <row r="433" spans="1:13" ht="15.75" hidden="1">
      <c r="A433" s="132"/>
      <c r="B433" s="134"/>
      <c r="C433" s="18" t="s">
        <v>73</v>
      </c>
      <c r="D433" s="29" t="s">
        <v>74</v>
      </c>
      <c r="E433" s="39">
        <v>6.2</v>
      </c>
      <c r="F433" s="13"/>
      <c r="G433" s="13"/>
      <c r="H433" s="13"/>
      <c r="I433" s="13">
        <f t="shared" si="29"/>
        <v>0</v>
      </c>
      <c r="J433" s="13"/>
      <c r="K433" s="13"/>
      <c r="L433" s="13">
        <f t="shared" si="30"/>
        <v>-6.2</v>
      </c>
      <c r="M433" s="13"/>
    </row>
    <row r="434" spans="1:13" ht="85.5" customHeight="1" hidden="1">
      <c r="A434" s="132"/>
      <c r="B434" s="134"/>
      <c r="C434" s="16" t="s">
        <v>19</v>
      </c>
      <c r="D434" s="17" t="s">
        <v>20</v>
      </c>
      <c r="E434" s="39"/>
      <c r="F434" s="13"/>
      <c r="G434" s="13"/>
      <c r="H434" s="13">
        <v>720</v>
      </c>
      <c r="I434" s="13">
        <f t="shared" si="29"/>
        <v>720</v>
      </c>
      <c r="J434" s="13"/>
      <c r="K434" s="13"/>
      <c r="L434" s="13">
        <f t="shared" si="30"/>
        <v>720</v>
      </c>
      <c r="M434" s="13"/>
    </row>
    <row r="435" spans="1:13" ht="15.75" customHeight="1" hidden="1">
      <c r="A435" s="132"/>
      <c r="B435" s="134"/>
      <c r="C435" s="18" t="s">
        <v>35</v>
      </c>
      <c r="D435" s="20" t="s">
        <v>36</v>
      </c>
      <c r="E435" s="13">
        <f>E436</f>
        <v>19.6</v>
      </c>
      <c r="F435" s="13">
        <f>F436</f>
        <v>729</v>
      </c>
      <c r="G435" s="13">
        <f>G436</f>
        <v>23.8</v>
      </c>
      <c r="H435" s="13">
        <f>H436</f>
        <v>18.9</v>
      </c>
      <c r="I435" s="13">
        <f t="shared" si="29"/>
        <v>-4.900000000000002</v>
      </c>
      <c r="J435" s="13">
        <f>H435/G435*100</f>
        <v>79.41176470588235</v>
      </c>
      <c r="K435" s="13">
        <f>H435/F435*100</f>
        <v>2.5925925925925926</v>
      </c>
      <c r="L435" s="13">
        <f t="shared" si="30"/>
        <v>-0.7000000000000028</v>
      </c>
      <c r="M435" s="13">
        <f>H435/E435*100</f>
        <v>96.42857142857142</v>
      </c>
    </row>
    <row r="436" spans="1:13" ht="31.5" customHeight="1" hidden="1">
      <c r="A436" s="132"/>
      <c r="B436" s="134"/>
      <c r="C436" s="16" t="s">
        <v>193</v>
      </c>
      <c r="D436" s="21" t="s">
        <v>194</v>
      </c>
      <c r="E436" s="13">
        <v>19.6</v>
      </c>
      <c r="F436" s="13">
        <v>729</v>
      </c>
      <c r="G436" s="13">
        <v>23.8</v>
      </c>
      <c r="H436" s="13">
        <v>18.9</v>
      </c>
      <c r="I436" s="13">
        <f t="shared" si="29"/>
        <v>-4.900000000000002</v>
      </c>
      <c r="J436" s="13">
        <f>H436/G436*100</f>
        <v>79.41176470588235</v>
      </c>
      <c r="K436" s="13">
        <f>H436/F436*100</f>
        <v>2.5925925925925926</v>
      </c>
      <c r="L436" s="13">
        <f t="shared" si="30"/>
        <v>-0.7000000000000028</v>
      </c>
      <c r="M436" s="13">
        <f>H436/E436*100</f>
        <v>96.42857142857142</v>
      </c>
    </row>
    <row r="437" spans="1:13" s="28" customFormat="1" ht="15.75" customHeight="1" hidden="1">
      <c r="A437" s="132"/>
      <c r="B437" s="134"/>
      <c r="C437" s="25"/>
      <c r="D437" s="26" t="s">
        <v>55</v>
      </c>
      <c r="E437" s="40">
        <f>SUM(E431:E435)</f>
        <v>212958.80000000002</v>
      </c>
      <c r="F437" s="40">
        <f>SUM(F431:F435)</f>
        <v>3458560</v>
      </c>
      <c r="G437" s="40">
        <f>SUM(G431:G435)</f>
        <v>292888.5</v>
      </c>
      <c r="H437" s="40">
        <f>SUM(H431:H435)</f>
        <v>327352.9000000001</v>
      </c>
      <c r="I437" s="13">
        <f t="shared" si="29"/>
        <v>34464.40000000008</v>
      </c>
      <c r="J437" s="13">
        <f>H437/G437*100</f>
        <v>111.7670717696325</v>
      </c>
      <c r="K437" s="27">
        <f>H437/F437*100</f>
        <v>9.465005667098447</v>
      </c>
      <c r="L437" s="13">
        <f t="shared" si="30"/>
        <v>114394.10000000006</v>
      </c>
      <c r="M437" s="13">
        <f>H437/E437*100</f>
        <v>153.71654047637386</v>
      </c>
    </row>
    <row r="438" spans="1:13" s="33" customFormat="1" ht="15.75" hidden="1">
      <c r="A438" s="135"/>
      <c r="B438" s="136"/>
      <c r="C438" s="30"/>
      <c r="D438" s="31" t="s">
        <v>77</v>
      </c>
      <c r="E438" s="43">
        <f>E430+E437</f>
        <v>237391.7</v>
      </c>
      <c r="F438" s="43">
        <f>F430+F437</f>
        <v>4095908.6</v>
      </c>
      <c r="G438" s="43">
        <f>G430+G437</f>
        <v>313757.88</v>
      </c>
      <c r="H438" s="43">
        <f>H430+H437</f>
        <v>349702.8400000001</v>
      </c>
      <c r="I438" s="32">
        <f t="shared" si="29"/>
        <v>35944.96000000008</v>
      </c>
      <c r="J438" s="32">
        <f>H438/G438*100</f>
        <v>111.45627322571153</v>
      </c>
      <c r="K438" s="32">
        <f>H438/F438*100</f>
        <v>8.537857509808692</v>
      </c>
      <c r="L438" s="32">
        <f t="shared" si="30"/>
        <v>112311.14000000007</v>
      </c>
      <c r="M438" s="32">
        <f>H438/E438*100</f>
        <v>147.31047462906247</v>
      </c>
    </row>
    <row r="439" spans="1:13" s="28" customFormat="1" ht="15.75" customHeight="1" hidden="1">
      <c r="A439" s="130"/>
      <c r="B439" s="130" t="s">
        <v>195</v>
      </c>
      <c r="C439" s="18" t="s">
        <v>73</v>
      </c>
      <c r="D439" s="29" t="s">
        <v>74</v>
      </c>
      <c r="E439" s="39"/>
      <c r="F439" s="40"/>
      <c r="G439" s="40"/>
      <c r="H439" s="39"/>
      <c r="I439" s="13">
        <f t="shared" si="29"/>
        <v>0</v>
      </c>
      <c r="J439" s="13"/>
      <c r="K439" s="13"/>
      <c r="L439" s="13">
        <f t="shared" si="30"/>
        <v>0</v>
      </c>
      <c r="M439" s="13"/>
    </row>
    <row r="440" spans="1:13" s="28" customFormat="1" ht="80.25" customHeight="1" hidden="1">
      <c r="A440" s="134"/>
      <c r="B440" s="134"/>
      <c r="C440" s="37" t="s">
        <v>196</v>
      </c>
      <c r="D440" s="38" t="s">
        <v>197</v>
      </c>
      <c r="E440" s="13"/>
      <c r="F440" s="13"/>
      <c r="G440" s="13"/>
      <c r="H440" s="13"/>
      <c r="I440" s="13">
        <f t="shared" si="29"/>
        <v>0</v>
      </c>
      <c r="J440" s="13"/>
      <c r="K440" s="13"/>
      <c r="L440" s="13">
        <f t="shared" si="30"/>
        <v>0</v>
      </c>
      <c r="M440" s="13"/>
    </row>
    <row r="441" spans="1:13" s="28" customFormat="1" ht="78.75" customHeight="1" hidden="1">
      <c r="A441" s="134"/>
      <c r="B441" s="134"/>
      <c r="C441" s="53" t="s">
        <v>198</v>
      </c>
      <c r="D441" s="38" t="s">
        <v>199</v>
      </c>
      <c r="E441" s="13"/>
      <c r="F441" s="13"/>
      <c r="G441" s="13"/>
      <c r="H441" s="13"/>
      <c r="I441" s="13">
        <f t="shared" si="29"/>
        <v>0</v>
      </c>
      <c r="J441" s="13"/>
      <c r="K441" s="13"/>
      <c r="L441" s="13">
        <f t="shared" si="30"/>
        <v>0</v>
      </c>
      <c r="M441" s="13"/>
    </row>
    <row r="442" spans="1:13" ht="15.75" customHeight="1" hidden="1">
      <c r="A442" s="133"/>
      <c r="B442" s="133"/>
      <c r="C442" s="18" t="s">
        <v>35</v>
      </c>
      <c r="D442" s="20" t="s">
        <v>36</v>
      </c>
      <c r="E442" s="13">
        <f>SUM(E443:E443)</f>
        <v>0</v>
      </c>
      <c r="F442" s="13">
        <f>SUM(F443:F443)</f>
        <v>0</v>
      </c>
      <c r="G442" s="13">
        <f>SUM(G443:G443)</f>
        <v>0</v>
      </c>
      <c r="H442" s="13">
        <f>SUM(H443:H443)</f>
        <v>0</v>
      </c>
      <c r="I442" s="13">
        <f t="shared" si="29"/>
        <v>0</v>
      </c>
      <c r="J442" s="13"/>
      <c r="K442" s="13"/>
      <c r="L442" s="13">
        <f t="shared" si="30"/>
        <v>0</v>
      </c>
      <c r="M442" s="13"/>
    </row>
    <row r="443" spans="1:13" ht="63" customHeight="1" hidden="1">
      <c r="A443" s="133"/>
      <c r="B443" s="133"/>
      <c r="C443" s="18" t="s">
        <v>75</v>
      </c>
      <c r="D443" s="24" t="s">
        <v>76</v>
      </c>
      <c r="E443" s="13"/>
      <c r="F443" s="13"/>
      <c r="G443" s="13"/>
      <c r="H443" s="13"/>
      <c r="I443" s="13">
        <f t="shared" si="29"/>
        <v>0</v>
      </c>
      <c r="J443" s="13"/>
      <c r="K443" s="13"/>
      <c r="L443" s="13">
        <f t="shared" si="30"/>
        <v>0</v>
      </c>
      <c r="M443" s="13"/>
    </row>
    <row r="444" spans="1:13" ht="15.75" customHeight="1" hidden="1">
      <c r="A444" s="133"/>
      <c r="B444" s="133"/>
      <c r="C444" s="18" t="s">
        <v>47</v>
      </c>
      <c r="D444" s="20" t="s">
        <v>48</v>
      </c>
      <c r="E444" s="13"/>
      <c r="F444" s="13"/>
      <c r="G444" s="13"/>
      <c r="H444" s="13"/>
      <c r="I444" s="13">
        <f t="shared" si="29"/>
        <v>0</v>
      </c>
      <c r="J444" s="13"/>
      <c r="K444" s="13"/>
      <c r="L444" s="13">
        <f t="shared" si="30"/>
        <v>0</v>
      </c>
      <c r="M444" s="13"/>
    </row>
    <row r="445" spans="1:13" ht="15.75" customHeight="1" hidden="1">
      <c r="A445" s="133"/>
      <c r="B445" s="133"/>
      <c r="C445" s="18" t="s">
        <v>49</v>
      </c>
      <c r="D445" s="20" t="s">
        <v>50</v>
      </c>
      <c r="E445" s="13"/>
      <c r="F445" s="13"/>
      <c r="G445" s="13"/>
      <c r="H445" s="13"/>
      <c r="I445" s="13">
        <f t="shared" si="29"/>
        <v>0</v>
      </c>
      <c r="J445" s="13"/>
      <c r="K445" s="13"/>
      <c r="L445" s="13">
        <f t="shared" si="30"/>
        <v>0</v>
      </c>
      <c r="M445" s="13"/>
    </row>
    <row r="446" spans="1:13" ht="15.75" customHeight="1" hidden="1">
      <c r="A446" s="133"/>
      <c r="B446" s="133"/>
      <c r="C446" s="18" t="s">
        <v>69</v>
      </c>
      <c r="D446" s="21" t="s">
        <v>70</v>
      </c>
      <c r="E446" s="13"/>
      <c r="F446" s="13"/>
      <c r="G446" s="13"/>
      <c r="H446" s="13"/>
      <c r="I446" s="13">
        <f t="shared" si="29"/>
        <v>0</v>
      </c>
      <c r="J446" s="13"/>
      <c r="K446" s="13"/>
      <c r="L446" s="13">
        <f t="shared" si="30"/>
        <v>0</v>
      </c>
      <c r="M446" s="13"/>
    </row>
    <row r="447" spans="1:13" s="28" customFormat="1" ht="15.75" customHeight="1" hidden="1">
      <c r="A447" s="129"/>
      <c r="B447" s="129"/>
      <c r="C447" s="25"/>
      <c r="D447" s="26" t="s">
        <v>200</v>
      </c>
      <c r="E447" s="40">
        <f>SUM(E439:E442,E444:E446)</f>
        <v>0</v>
      </c>
      <c r="F447" s="40">
        <f>SUM(F439:F442,F444:F446)</f>
        <v>0</v>
      </c>
      <c r="G447" s="40">
        <f>SUM(G439:G442,G444:G446)</f>
        <v>0</v>
      </c>
      <c r="H447" s="40">
        <f>SUM(H439:H442,H444:H446)</f>
        <v>0</v>
      </c>
      <c r="I447" s="13">
        <f t="shared" si="29"/>
        <v>0</v>
      </c>
      <c r="J447" s="13"/>
      <c r="K447" s="27"/>
      <c r="L447" s="13">
        <f t="shared" si="30"/>
        <v>0</v>
      </c>
      <c r="M447" s="13"/>
    </row>
    <row r="448" spans="9:13" ht="18.75" customHeight="1" hidden="1">
      <c r="I448" s="13"/>
      <c r="J448" s="13"/>
      <c r="K448" s="27"/>
      <c r="L448" s="13"/>
      <c r="M448" s="13"/>
    </row>
    <row r="449" spans="1:13" s="28" customFormat="1" ht="33.75" customHeight="1" hidden="1">
      <c r="A449" s="130"/>
      <c r="B449" s="130"/>
      <c r="C449" s="25"/>
      <c r="D449" s="26" t="s">
        <v>201</v>
      </c>
      <c r="E449" s="40">
        <f>E466+E480+E521-E528</f>
        <v>1020962.3999999999</v>
      </c>
      <c r="F449" s="40">
        <f>F466+F480+F521-F528</f>
        <v>21262517.246</v>
      </c>
      <c r="G449" s="40">
        <f>G466+G480+G521-G528</f>
        <v>1459093.3000000003</v>
      </c>
      <c r="H449" s="40">
        <f>H466+H480+H521-H528</f>
        <v>1304011.9700000002</v>
      </c>
      <c r="I449" s="13">
        <f>H449-G449</f>
        <v>-155081.33000000007</v>
      </c>
      <c r="J449" s="13">
        <f>H449/G449*100</f>
        <v>89.37139043815772</v>
      </c>
      <c r="K449" s="27">
        <f>H449/F449*100</f>
        <v>6.13291434364535</v>
      </c>
      <c r="L449" s="13">
        <f>H449-E449</f>
        <v>283049.5700000003</v>
      </c>
      <c r="M449" s="13">
        <f>H449/E449*100</f>
        <v>127.72379962278733</v>
      </c>
    </row>
    <row r="450" spans="1:13" s="28" customFormat="1" ht="15.75" hidden="1">
      <c r="A450" s="134"/>
      <c r="B450" s="134"/>
      <c r="C450" s="25"/>
      <c r="D450" s="26"/>
      <c r="E450" s="40"/>
      <c r="F450" s="40"/>
      <c r="G450" s="40"/>
      <c r="H450" s="40"/>
      <c r="I450" s="13"/>
      <c r="J450" s="13"/>
      <c r="K450" s="27"/>
      <c r="L450" s="13"/>
      <c r="M450" s="13"/>
    </row>
    <row r="451" spans="1:13" s="28" customFormat="1" ht="31.5" hidden="1">
      <c r="A451" s="134"/>
      <c r="B451" s="134"/>
      <c r="C451" s="25"/>
      <c r="D451" s="26" t="s">
        <v>202</v>
      </c>
      <c r="E451" s="40">
        <f>E466+E480</f>
        <v>862533.7</v>
      </c>
      <c r="F451" s="40">
        <f>F466+F480</f>
        <v>17414833.8</v>
      </c>
      <c r="G451" s="40">
        <f>G466+G480</f>
        <v>947840.6200000001</v>
      </c>
      <c r="H451" s="40">
        <f>H466+H480</f>
        <v>982864.52</v>
      </c>
      <c r="I451" s="27">
        <f t="shared" si="29"/>
        <v>35023.89999999991</v>
      </c>
      <c r="J451" s="27">
        <f>H451/G451*100</f>
        <v>103.69512545263146</v>
      </c>
      <c r="K451" s="27">
        <f>H451/F451*100</f>
        <v>5.64383519985129</v>
      </c>
      <c r="L451" s="27">
        <f t="shared" si="30"/>
        <v>120330.82000000007</v>
      </c>
      <c r="M451" s="27">
        <f>H451/E451*100</f>
        <v>113.95085432603969</v>
      </c>
    </row>
    <row r="452" spans="1:13" s="28" customFormat="1" ht="31.5" hidden="1">
      <c r="A452" s="134"/>
      <c r="B452" s="134"/>
      <c r="C452" s="25"/>
      <c r="D452" s="55" t="s">
        <v>203</v>
      </c>
      <c r="E452" s="40">
        <f aca="true" t="shared" si="31" ref="E452:H453">E529</f>
        <v>1020962.3999999999</v>
      </c>
      <c r="F452" s="40">
        <f t="shared" si="31"/>
        <v>21262517.246</v>
      </c>
      <c r="G452" s="40">
        <f t="shared" si="31"/>
        <v>1459093.3000000003</v>
      </c>
      <c r="H452" s="40">
        <f t="shared" si="31"/>
        <v>1304011.9700000002</v>
      </c>
      <c r="I452" s="27">
        <f t="shared" si="29"/>
        <v>-155081.33000000007</v>
      </c>
      <c r="J452" s="27">
        <f>H452/G452*100</f>
        <v>89.37139043815772</v>
      </c>
      <c r="K452" s="27">
        <f>H452/F452*100</f>
        <v>6.13291434364535</v>
      </c>
      <c r="L452" s="27">
        <f t="shared" si="30"/>
        <v>283049.5700000003</v>
      </c>
      <c r="M452" s="27">
        <f>H452/E452*100</f>
        <v>127.72379962278733</v>
      </c>
    </row>
    <row r="453" spans="1:13" s="28" customFormat="1" ht="31.5" hidden="1">
      <c r="A453" s="134"/>
      <c r="B453" s="134"/>
      <c r="C453" s="25"/>
      <c r="D453" s="55" t="s">
        <v>204</v>
      </c>
      <c r="E453" s="40">
        <f t="shared" si="31"/>
        <v>723224.2</v>
      </c>
      <c r="F453" s="40">
        <f t="shared" si="31"/>
        <v>21262517.246</v>
      </c>
      <c r="G453" s="40">
        <f t="shared" si="31"/>
        <v>1459093.3000000003</v>
      </c>
      <c r="H453" s="40">
        <f t="shared" si="31"/>
        <v>1056050.7400000002</v>
      </c>
      <c r="I453" s="27">
        <f t="shared" si="29"/>
        <v>-403042.56000000006</v>
      </c>
      <c r="J453" s="27">
        <f>H453/G453*100</f>
        <v>72.37719068410499</v>
      </c>
      <c r="K453" s="27">
        <f>H453/F453*100</f>
        <v>4.966724907412687</v>
      </c>
      <c r="L453" s="27">
        <f t="shared" si="30"/>
        <v>332826.54000000027</v>
      </c>
      <c r="M453" s="27">
        <f>H453/E453*100</f>
        <v>146.0198289824926</v>
      </c>
    </row>
    <row r="454" spans="1:13" s="28" customFormat="1" ht="15.75" hidden="1">
      <c r="A454" s="134"/>
      <c r="B454" s="134"/>
      <c r="C454" s="25"/>
      <c r="D454" s="55"/>
      <c r="E454" s="40"/>
      <c r="F454" s="40"/>
      <c r="G454" s="40"/>
      <c r="H454" s="40"/>
      <c r="I454" s="13">
        <f t="shared" si="29"/>
        <v>0</v>
      </c>
      <c r="J454" s="13"/>
      <c r="K454" s="13"/>
      <c r="L454" s="13">
        <f t="shared" si="30"/>
        <v>0</v>
      </c>
      <c r="M454" s="13"/>
    </row>
    <row r="455" spans="1:13" s="28" customFormat="1" ht="31.5" customHeight="1" hidden="1">
      <c r="A455" s="136"/>
      <c r="B455" s="136"/>
      <c r="C455" s="36"/>
      <c r="D455" s="26" t="s">
        <v>205</v>
      </c>
      <c r="E455" s="56">
        <f>E457</f>
        <v>0</v>
      </c>
      <c r="F455" s="56">
        <f>F457</f>
        <v>0</v>
      </c>
      <c r="G455" s="56">
        <f>G457</f>
        <v>0</v>
      </c>
      <c r="H455" s="56">
        <f>H457</f>
        <v>0</v>
      </c>
      <c r="I455" s="13">
        <f t="shared" si="29"/>
        <v>0</v>
      </c>
      <c r="J455" s="13"/>
      <c r="K455" s="27"/>
      <c r="L455" s="13">
        <f t="shared" si="30"/>
        <v>0</v>
      </c>
      <c r="M455" s="13"/>
    </row>
    <row r="456" spans="1:13" ht="31.5" customHeight="1" hidden="1">
      <c r="A456" s="128" t="s">
        <v>15</v>
      </c>
      <c r="B456" s="130" t="s">
        <v>16</v>
      </c>
      <c r="C456" s="16" t="s">
        <v>206</v>
      </c>
      <c r="D456" s="21" t="s">
        <v>207</v>
      </c>
      <c r="E456" s="49"/>
      <c r="F456" s="49"/>
      <c r="G456" s="49"/>
      <c r="H456" s="49"/>
      <c r="I456" s="13">
        <f t="shared" si="29"/>
        <v>0</v>
      </c>
      <c r="J456" s="13"/>
      <c r="K456" s="13"/>
      <c r="L456" s="13">
        <f t="shared" si="30"/>
        <v>0</v>
      </c>
      <c r="M456" s="13"/>
    </row>
    <row r="457" spans="1:13" s="28" customFormat="1" ht="15.75" customHeight="1" hidden="1">
      <c r="A457" s="129"/>
      <c r="B457" s="129"/>
      <c r="C457" s="36"/>
      <c r="D457" s="26" t="s">
        <v>200</v>
      </c>
      <c r="E457" s="56">
        <f>SUM(E456:E456)</f>
        <v>0</v>
      </c>
      <c r="F457" s="56">
        <f>SUM(F456:F456)</f>
        <v>0</v>
      </c>
      <c r="G457" s="56">
        <f>SUM(G456:G456)</f>
        <v>0</v>
      </c>
      <c r="H457" s="56">
        <f>SUM(H456:H456)</f>
        <v>0</v>
      </c>
      <c r="I457" s="13">
        <f t="shared" si="29"/>
        <v>0</v>
      </c>
      <c r="J457" s="13"/>
      <c r="K457" s="27"/>
      <c r="L457" s="13">
        <f t="shared" si="30"/>
        <v>0</v>
      </c>
      <c r="M457" s="13"/>
    </row>
    <row r="458" spans="1:11" ht="15.75" hidden="1">
      <c r="A458" s="57"/>
      <c r="B458" s="57"/>
      <c r="C458" s="58"/>
      <c r="D458" s="6"/>
      <c r="E458" s="59"/>
      <c r="F458" s="59"/>
      <c r="G458" s="59"/>
      <c r="H458" s="59"/>
      <c r="I458" s="60"/>
      <c r="J458" s="60"/>
      <c r="K458" s="60"/>
    </row>
    <row r="459" spans="1:11" ht="15.75" hidden="1">
      <c r="A459" s="57"/>
      <c r="B459" s="57"/>
      <c r="C459" s="58"/>
      <c r="D459" s="6" t="s">
        <v>208</v>
      </c>
      <c r="E459" s="131"/>
      <c r="F459" s="122"/>
      <c r="G459" s="122"/>
      <c r="H459" s="122"/>
      <c r="I459" s="124"/>
      <c r="J459" s="126"/>
      <c r="K459" s="126"/>
    </row>
    <row r="460" spans="1:11" ht="15.75" hidden="1">
      <c r="A460" s="57"/>
      <c r="B460" s="57"/>
      <c r="C460" s="58"/>
      <c r="D460" s="6"/>
      <c r="E460" s="131"/>
      <c r="F460" s="123"/>
      <c r="G460" s="123"/>
      <c r="H460" s="123"/>
      <c r="I460" s="125"/>
      <c r="J460" s="125"/>
      <c r="K460" s="125"/>
    </row>
    <row r="461" spans="1:11" ht="18" customHeight="1" hidden="1">
      <c r="A461" s="127" t="str">
        <f>A1</f>
        <v>                                                                 Оперативный анализ  поступления доходов за январь 2011 года</v>
      </c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</row>
    <row r="462" spans="1:11" ht="18" customHeight="1">
      <c r="A462" s="1"/>
      <c r="B462" s="1"/>
      <c r="C462" s="1"/>
      <c r="D462" s="6" t="s">
        <v>208</v>
      </c>
      <c r="E462" s="1"/>
      <c r="F462" s="1"/>
      <c r="G462" s="1"/>
      <c r="H462" s="1"/>
      <c r="I462" s="1"/>
      <c r="J462" s="1"/>
      <c r="K462" s="1"/>
    </row>
    <row r="463" spans="2:13" ht="15" customHeight="1">
      <c r="B463" s="1"/>
      <c r="C463" s="61"/>
      <c r="D463" s="1"/>
      <c r="E463" s="62"/>
      <c r="F463" s="62"/>
      <c r="G463" s="62"/>
      <c r="H463" s="62"/>
      <c r="K463" s="9"/>
      <c r="M463" s="9" t="s">
        <v>1</v>
      </c>
    </row>
    <row r="464" spans="1:13" ht="42.75" customHeight="1">
      <c r="A464" s="119" t="s">
        <v>2</v>
      </c>
      <c r="B464" s="120" t="s">
        <v>3</v>
      </c>
      <c r="C464" s="121" t="s">
        <v>4</v>
      </c>
      <c r="D464" s="120" t="s">
        <v>5</v>
      </c>
      <c r="E464" s="117" t="str">
        <f>E3</f>
        <v>Факт  на 01.02.2010 г. </v>
      </c>
      <c r="F464" s="117" t="str">
        <f aca="true" t="shared" si="32" ref="F464:M464">F3</f>
        <v>Годовой план на 2011 год </v>
      </c>
      <c r="G464" s="117" t="str">
        <f t="shared" si="32"/>
        <v>План января 2011 года</v>
      </c>
      <c r="H464" s="117" t="str">
        <f t="shared" si="32"/>
        <v>Факт с начала года на 01.02.2011г. </v>
      </c>
      <c r="I464" s="112" t="str">
        <f t="shared" si="32"/>
        <v>Отклонение факта отч.пер. от плана января</v>
      </c>
      <c r="J464" s="112" t="str">
        <f t="shared" si="32"/>
        <v>% исполн. плана января</v>
      </c>
      <c r="K464" s="112" t="str">
        <f t="shared" si="32"/>
        <v>% исполн. плана года</v>
      </c>
      <c r="L464" s="112" t="str">
        <f t="shared" si="32"/>
        <v>Отклонение факта 2011 от факта 2010</v>
      </c>
      <c r="M464" s="112" t="str">
        <f t="shared" si="32"/>
        <v>% факта 2011г. к факту 2010г.</v>
      </c>
    </row>
    <row r="465" spans="1:13" ht="37.5" customHeight="1">
      <c r="A465" s="119"/>
      <c r="B465" s="120"/>
      <c r="C465" s="121"/>
      <c r="D465" s="120"/>
      <c r="E465" s="118"/>
      <c r="F465" s="118"/>
      <c r="G465" s="118"/>
      <c r="H465" s="118"/>
      <c r="I465" s="113"/>
      <c r="J465" s="113"/>
      <c r="K465" s="113"/>
      <c r="L465" s="113"/>
      <c r="M465" s="113"/>
    </row>
    <row r="466" spans="1:13" s="28" customFormat="1" ht="21" customHeight="1">
      <c r="A466" s="114"/>
      <c r="B466" s="114"/>
      <c r="C466" s="25"/>
      <c r="D466" s="98" t="s">
        <v>209</v>
      </c>
      <c r="E466" s="99">
        <f>SUM(E479,E467:E474)</f>
        <v>770159.7</v>
      </c>
      <c r="F466" s="99">
        <f>SUM(F479,F467:F474)</f>
        <v>14721482.100000001</v>
      </c>
      <c r="G466" s="99">
        <f>SUM(G479,G467:G474)</f>
        <v>818729.4000000001</v>
      </c>
      <c r="H466" s="99">
        <f>SUM(H479,H467:H474)</f>
        <v>871920.23</v>
      </c>
      <c r="I466" s="100">
        <f>H466-G466</f>
        <v>53190.82999999984</v>
      </c>
      <c r="J466" s="100">
        <f>H466/G466*100</f>
        <v>106.49675338396298</v>
      </c>
      <c r="K466" s="100">
        <f aca="true" t="shared" si="33" ref="K466:K478">H466/F466*100</f>
        <v>5.922774786378335</v>
      </c>
      <c r="L466" s="100">
        <f>H466-E466</f>
        <v>101760.53000000003</v>
      </c>
      <c r="M466" s="100">
        <f>H466/E466*100</f>
        <v>113.21291285430802</v>
      </c>
    </row>
    <row r="467" spans="1:13" ht="16.5" customHeight="1">
      <c r="A467" s="114"/>
      <c r="B467" s="114"/>
      <c r="C467" s="18" t="s">
        <v>144</v>
      </c>
      <c r="D467" s="20" t="s">
        <v>145</v>
      </c>
      <c r="E467" s="39">
        <f aca="true" t="shared" si="34" ref="E467:H473">SUMIF($C$5:$C$456,$C467,E$5:E$456)</f>
        <v>339147.9</v>
      </c>
      <c r="F467" s="39">
        <f t="shared" si="34"/>
        <v>6782876.100000001</v>
      </c>
      <c r="G467" s="39">
        <f t="shared" si="34"/>
        <v>386238.50000000006</v>
      </c>
      <c r="H467" s="39">
        <f t="shared" si="34"/>
        <v>428807.19</v>
      </c>
      <c r="I467" s="64">
        <f aca="true" t="shared" si="35" ref="I467:I532">H467-G467</f>
        <v>42568.689999999944</v>
      </c>
      <c r="J467" s="64">
        <f aca="true" t="shared" si="36" ref="J467:J526">H467/G467*100</f>
        <v>111.0213482084256</v>
      </c>
      <c r="K467" s="64">
        <f t="shared" si="33"/>
        <v>6.321908047236775</v>
      </c>
      <c r="L467" s="64">
        <f aca="true" t="shared" si="37" ref="L467:L531">H467-E467</f>
        <v>89659.28999999998</v>
      </c>
      <c r="M467" s="64">
        <f aca="true" t="shared" si="38" ref="M467:M530">H467/E467*100</f>
        <v>126.43663428256522</v>
      </c>
    </row>
    <row r="468" spans="1:13" ht="16.5" customHeight="1">
      <c r="A468" s="114"/>
      <c r="B468" s="114"/>
      <c r="C468" s="18" t="s">
        <v>146</v>
      </c>
      <c r="D468" s="20" t="s">
        <v>147</v>
      </c>
      <c r="E468" s="39">
        <f t="shared" si="34"/>
        <v>81649.7</v>
      </c>
      <c r="F468" s="39">
        <f t="shared" si="34"/>
        <v>483544</v>
      </c>
      <c r="G468" s="39">
        <f t="shared" si="34"/>
        <v>91148</v>
      </c>
      <c r="H468" s="39">
        <f t="shared" si="34"/>
        <v>60821.74</v>
      </c>
      <c r="I468" s="64">
        <f t="shared" si="35"/>
        <v>-30326.260000000002</v>
      </c>
      <c r="J468" s="64">
        <f t="shared" si="36"/>
        <v>66.7285513670075</v>
      </c>
      <c r="K468" s="64">
        <f t="shared" si="33"/>
        <v>12.57832586072829</v>
      </c>
      <c r="L468" s="64">
        <f t="shared" si="37"/>
        <v>-20827.96</v>
      </c>
      <c r="M468" s="64">
        <f t="shared" si="38"/>
        <v>74.49107590107495</v>
      </c>
    </row>
    <row r="469" spans="1:13" ht="16.5" customHeight="1">
      <c r="A469" s="114"/>
      <c r="B469" s="114"/>
      <c r="C469" s="18" t="s">
        <v>169</v>
      </c>
      <c r="D469" s="20" t="s">
        <v>170</v>
      </c>
      <c r="E469" s="39">
        <f t="shared" si="34"/>
        <v>0</v>
      </c>
      <c r="F469" s="39">
        <f t="shared" si="34"/>
        <v>652.7</v>
      </c>
      <c r="G469" s="39">
        <f t="shared" si="34"/>
        <v>0</v>
      </c>
      <c r="H469" s="39">
        <f t="shared" si="34"/>
        <v>3.96</v>
      </c>
      <c r="I469" s="64">
        <f t="shared" si="35"/>
        <v>3.96</v>
      </c>
      <c r="J469" s="64"/>
      <c r="K469" s="64">
        <f t="shared" si="33"/>
        <v>0.60671058679332</v>
      </c>
      <c r="L469" s="64">
        <f t="shared" si="37"/>
        <v>3.96</v>
      </c>
      <c r="M469" s="64"/>
    </row>
    <row r="470" spans="1:13" ht="16.5" customHeight="1">
      <c r="A470" s="114"/>
      <c r="B470" s="114"/>
      <c r="C470" s="18" t="s">
        <v>189</v>
      </c>
      <c r="D470" s="20" t="s">
        <v>190</v>
      </c>
      <c r="E470" s="39">
        <f t="shared" si="34"/>
        <v>7366.4</v>
      </c>
      <c r="F470" s="39">
        <f t="shared" si="34"/>
        <v>53346</v>
      </c>
      <c r="G470" s="39">
        <f t="shared" si="34"/>
        <v>6166.7</v>
      </c>
      <c r="H470" s="39">
        <f t="shared" si="34"/>
        <v>8622.21</v>
      </c>
      <c r="I470" s="64">
        <f t="shared" si="35"/>
        <v>2455.5099999999993</v>
      </c>
      <c r="J470" s="64">
        <f t="shared" si="36"/>
        <v>139.8188658439684</v>
      </c>
      <c r="K470" s="64">
        <f t="shared" si="33"/>
        <v>16.1628050837926</v>
      </c>
      <c r="L470" s="64">
        <f t="shared" si="37"/>
        <v>1255.8099999999995</v>
      </c>
      <c r="M470" s="64">
        <f t="shared" si="38"/>
        <v>117.04781168549087</v>
      </c>
    </row>
    <row r="471" spans="1:13" ht="16.5" customHeight="1">
      <c r="A471" s="114"/>
      <c r="B471" s="114"/>
      <c r="C471" s="18" t="s">
        <v>53</v>
      </c>
      <c r="D471" s="29" t="s">
        <v>54</v>
      </c>
      <c r="E471" s="39">
        <f t="shared" si="34"/>
        <v>15105.3</v>
      </c>
      <c r="F471" s="39">
        <f t="shared" si="34"/>
        <v>2752050.4</v>
      </c>
      <c r="G471" s="39">
        <f t="shared" si="34"/>
        <v>16512.3</v>
      </c>
      <c r="H471" s="39">
        <f t="shared" si="34"/>
        <v>20177.070000000003</v>
      </c>
      <c r="I471" s="64">
        <f t="shared" si="35"/>
        <v>3664.770000000004</v>
      </c>
      <c r="J471" s="64">
        <f t="shared" si="36"/>
        <v>122.19418251848624</v>
      </c>
      <c r="K471" s="64">
        <f t="shared" si="33"/>
        <v>0.7331649885481749</v>
      </c>
      <c r="L471" s="64">
        <f t="shared" si="37"/>
        <v>5071.770000000004</v>
      </c>
      <c r="M471" s="64">
        <f t="shared" si="38"/>
        <v>133.57609580743187</v>
      </c>
    </row>
    <row r="472" spans="1:13" ht="16.5" customHeight="1">
      <c r="A472" s="114"/>
      <c r="B472" s="114"/>
      <c r="C472" s="18" t="s">
        <v>136</v>
      </c>
      <c r="D472" s="29" t="s">
        <v>137</v>
      </c>
      <c r="E472" s="39">
        <f t="shared" si="34"/>
        <v>114299.1</v>
      </c>
      <c r="F472" s="39">
        <f t="shared" si="34"/>
        <v>902073.3999999999</v>
      </c>
      <c r="G472" s="39">
        <f t="shared" si="34"/>
        <v>22955.6</v>
      </c>
      <c r="H472" s="39">
        <f t="shared" si="34"/>
        <v>19269.64</v>
      </c>
      <c r="I472" s="64">
        <f t="shared" si="35"/>
        <v>-3685.959999999999</v>
      </c>
      <c r="J472" s="64">
        <f t="shared" si="36"/>
        <v>83.94309013922529</v>
      </c>
      <c r="K472" s="64">
        <f t="shared" si="33"/>
        <v>2.1361498964496684</v>
      </c>
      <c r="L472" s="64">
        <f t="shared" si="37"/>
        <v>-95029.46</v>
      </c>
      <c r="M472" s="64">
        <f t="shared" si="38"/>
        <v>16.858960394263818</v>
      </c>
    </row>
    <row r="473" spans="1:13" ht="16.5" customHeight="1">
      <c r="A473" s="114"/>
      <c r="B473" s="114"/>
      <c r="C473" s="18" t="s">
        <v>191</v>
      </c>
      <c r="D473" s="20" t="s">
        <v>192</v>
      </c>
      <c r="E473" s="39">
        <f t="shared" si="34"/>
        <v>205566.6</v>
      </c>
      <c r="F473" s="39">
        <f t="shared" si="34"/>
        <v>3404485</v>
      </c>
      <c r="G473" s="39">
        <f t="shared" si="34"/>
        <v>286698</v>
      </c>
      <c r="H473" s="39">
        <f t="shared" si="34"/>
        <v>317991.79000000004</v>
      </c>
      <c r="I473" s="64">
        <f t="shared" si="35"/>
        <v>31293.790000000037</v>
      </c>
      <c r="J473" s="64">
        <f t="shared" si="36"/>
        <v>110.91524531039632</v>
      </c>
      <c r="K473" s="64">
        <f t="shared" si="33"/>
        <v>9.340378647578122</v>
      </c>
      <c r="L473" s="64">
        <f t="shared" si="37"/>
        <v>112425.19000000003</v>
      </c>
      <c r="M473" s="64">
        <f t="shared" si="38"/>
        <v>154.69039717541665</v>
      </c>
    </row>
    <row r="474" spans="1:13" ht="16.5" customHeight="1">
      <c r="A474" s="114"/>
      <c r="B474" s="114"/>
      <c r="C474" s="53" t="s">
        <v>210</v>
      </c>
      <c r="D474" s="20" t="s">
        <v>211</v>
      </c>
      <c r="E474" s="39">
        <f>SUM(E475:E478)</f>
        <v>7013.199999999999</v>
      </c>
      <c r="F474" s="39">
        <f>SUM(F475:F478)</f>
        <v>342454.5</v>
      </c>
      <c r="G474" s="39">
        <f>SUM(G475:G478)</f>
        <v>9010.3</v>
      </c>
      <c r="H474" s="39">
        <f>SUM(H475:H478)</f>
        <v>16248.960000000001</v>
      </c>
      <c r="I474" s="64">
        <f t="shared" si="35"/>
        <v>7238.660000000002</v>
      </c>
      <c r="J474" s="64">
        <f t="shared" si="36"/>
        <v>180.33761361996827</v>
      </c>
      <c r="K474" s="64">
        <f t="shared" si="33"/>
        <v>4.74485223584447</v>
      </c>
      <c r="L474" s="64">
        <f t="shared" si="37"/>
        <v>9235.760000000002</v>
      </c>
      <c r="M474" s="64">
        <f t="shared" si="38"/>
        <v>231.6910967889124</v>
      </c>
    </row>
    <row r="475" spans="1:13" ht="15.75" customHeight="1" hidden="1">
      <c r="A475" s="114"/>
      <c r="B475" s="114"/>
      <c r="C475" s="18" t="s">
        <v>155</v>
      </c>
      <c r="D475" s="20" t="s">
        <v>156</v>
      </c>
      <c r="E475" s="39">
        <f aca="true" t="shared" si="39" ref="E475:H479">SUMIF($C$5:$C$456,$C475,E$5:E$456)</f>
        <v>4368.7</v>
      </c>
      <c r="F475" s="39">
        <f t="shared" si="39"/>
        <v>178134.7</v>
      </c>
      <c r="G475" s="39">
        <f t="shared" si="39"/>
        <v>6608.9</v>
      </c>
      <c r="H475" s="39">
        <f t="shared" si="39"/>
        <v>5545.79</v>
      </c>
      <c r="I475" s="64">
        <f t="shared" si="35"/>
        <v>-1063.1099999999997</v>
      </c>
      <c r="J475" s="64">
        <f t="shared" si="36"/>
        <v>83.91396450241342</v>
      </c>
      <c r="K475" s="64">
        <f t="shared" si="33"/>
        <v>3.1132564289832354</v>
      </c>
      <c r="L475" s="64">
        <f t="shared" si="37"/>
        <v>1177.0900000000001</v>
      </c>
      <c r="M475" s="64">
        <f t="shared" si="38"/>
        <v>126.94371323276947</v>
      </c>
    </row>
    <row r="476" spans="1:13" ht="99.75" customHeight="1" hidden="1">
      <c r="A476" s="114"/>
      <c r="B476" s="114"/>
      <c r="C476" s="37" t="s">
        <v>71</v>
      </c>
      <c r="D476" s="38" t="s">
        <v>72</v>
      </c>
      <c r="E476" s="39">
        <f t="shared" si="39"/>
        <v>35.9</v>
      </c>
      <c r="F476" s="39">
        <f t="shared" si="39"/>
        <v>693</v>
      </c>
      <c r="G476" s="39">
        <f t="shared" si="39"/>
        <v>31.299999999999997</v>
      </c>
      <c r="H476" s="39">
        <f t="shared" si="39"/>
        <v>76.8</v>
      </c>
      <c r="I476" s="64">
        <f t="shared" si="35"/>
        <v>45.5</v>
      </c>
      <c r="J476" s="64">
        <f t="shared" si="36"/>
        <v>245.3674121405751</v>
      </c>
      <c r="K476" s="64">
        <f t="shared" si="33"/>
        <v>11.082251082251082</v>
      </c>
      <c r="L476" s="64">
        <f t="shared" si="37"/>
        <v>40.9</v>
      </c>
      <c r="M476" s="64">
        <f t="shared" si="38"/>
        <v>213.92757660167132</v>
      </c>
    </row>
    <row r="477" spans="1:13" ht="15.75" customHeight="1" hidden="1">
      <c r="A477" s="114"/>
      <c r="B477" s="114"/>
      <c r="C477" s="18" t="s">
        <v>138</v>
      </c>
      <c r="D477" s="20" t="s">
        <v>139</v>
      </c>
      <c r="E477" s="39">
        <f t="shared" si="39"/>
        <v>2587.6</v>
      </c>
      <c r="F477" s="39">
        <f t="shared" si="39"/>
        <v>162783.8</v>
      </c>
      <c r="G477" s="39">
        <f t="shared" si="39"/>
        <v>2349.1</v>
      </c>
      <c r="H477" s="39">
        <f t="shared" si="39"/>
        <v>10620.37</v>
      </c>
      <c r="I477" s="64">
        <f t="shared" si="35"/>
        <v>8271.27</v>
      </c>
      <c r="J477" s="64">
        <f t="shared" si="36"/>
        <v>452.1037844280789</v>
      </c>
      <c r="K477" s="64">
        <f t="shared" si="33"/>
        <v>6.524218011866047</v>
      </c>
      <c r="L477" s="64">
        <f t="shared" si="37"/>
        <v>8032.77</v>
      </c>
      <c r="M477" s="64">
        <f t="shared" si="38"/>
        <v>410.43321997217504</v>
      </c>
    </row>
    <row r="478" spans="1:13" ht="31.5" customHeight="1" hidden="1">
      <c r="A478" s="114"/>
      <c r="B478" s="114"/>
      <c r="C478" s="18" t="s">
        <v>165</v>
      </c>
      <c r="D478" s="20" t="s">
        <v>166</v>
      </c>
      <c r="E478" s="39">
        <f t="shared" si="39"/>
        <v>21</v>
      </c>
      <c r="F478" s="39">
        <f t="shared" si="39"/>
        <v>843</v>
      </c>
      <c r="G478" s="39">
        <f t="shared" si="39"/>
        <v>21</v>
      </c>
      <c r="H478" s="39">
        <f t="shared" si="39"/>
        <v>6</v>
      </c>
      <c r="I478" s="64">
        <f t="shared" si="35"/>
        <v>-15</v>
      </c>
      <c r="J478" s="64">
        <f t="shared" si="36"/>
        <v>28.57142857142857</v>
      </c>
      <c r="K478" s="64">
        <f t="shared" si="33"/>
        <v>0.7117437722419928</v>
      </c>
      <c r="L478" s="64">
        <f t="shared" si="37"/>
        <v>-15</v>
      </c>
      <c r="M478" s="64">
        <f t="shared" si="38"/>
        <v>28.57142857142857</v>
      </c>
    </row>
    <row r="479" spans="1:13" ht="16.5" customHeight="1">
      <c r="A479" s="114"/>
      <c r="B479" s="114"/>
      <c r="C479" s="18" t="s">
        <v>73</v>
      </c>
      <c r="D479" s="20" t="s">
        <v>74</v>
      </c>
      <c r="E479" s="39">
        <f t="shared" si="39"/>
        <v>11.5</v>
      </c>
      <c r="F479" s="39">
        <f t="shared" si="39"/>
        <v>0</v>
      </c>
      <c r="G479" s="39">
        <f t="shared" si="39"/>
        <v>0</v>
      </c>
      <c r="H479" s="39">
        <f t="shared" si="39"/>
        <v>-22.33</v>
      </c>
      <c r="I479" s="64">
        <f t="shared" si="35"/>
        <v>-22.33</v>
      </c>
      <c r="J479" s="64"/>
      <c r="K479" s="64"/>
      <c r="L479" s="64">
        <f t="shared" si="37"/>
        <v>-33.83</v>
      </c>
      <c r="M479" s="64">
        <f t="shared" si="38"/>
        <v>-194.17391304347825</v>
      </c>
    </row>
    <row r="480" spans="1:13" s="28" customFormat="1" ht="21" customHeight="1">
      <c r="A480" s="114"/>
      <c r="B480" s="114"/>
      <c r="C480" s="25"/>
      <c r="D480" s="98" t="s">
        <v>212</v>
      </c>
      <c r="E480" s="99">
        <f>SUM(E481:E494,E515:E518)</f>
        <v>92374</v>
      </c>
      <c r="F480" s="99">
        <f>SUM(F481:F494,F515:F518)-F518</f>
        <v>2693351.6999999993</v>
      </c>
      <c r="G480" s="99">
        <f>SUM(G481:G494,G515:G518)-G518</f>
        <v>129111.22</v>
      </c>
      <c r="H480" s="99">
        <f>SUM(H481:H494,H515:H518)-H518</f>
        <v>110944.29000000001</v>
      </c>
      <c r="I480" s="100">
        <f t="shared" si="35"/>
        <v>-18166.929999999993</v>
      </c>
      <c r="J480" s="100">
        <f t="shared" si="36"/>
        <v>85.92923992198355</v>
      </c>
      <c r="K480" s="100">
        <f>H480/F480*100</f>
        <v>4.119190598093819</v>
      </c>
      <c r="L480" s="100">
        <f t="shared" si="37"/>
        <v>18570.290000000008</v>
      </c>
      <c r="M480" s="100">
        <f t="shared" si="38"/>
        <v>120.10337324355338</v>
      </c>
    </row>
    <row r="481" spans="1:13" ht="15.75" customHeight="1">
      <c r="A481" s="114"/>
      <c r="B481" s="114"/>
      <c r="C481" s="18" t="s">
        <v>17</v>
      </c>
      <c r="D481" s="20" t="s">
        <v>18</v>
      </c>
      <c r="E481" s="39">
        <f aca="true" t="shared" si="40" ref="E481:H500">SUMIF($C$5:$C$456,$C481,E$5:E$456)</f>
        <v>0</v>
      </c>
      <c r="F481" s="39">
        <f t="shared" si="40"/>
        <v>433.9</v>
      </c>
      <c r="G481" s="39">
        <f t="shared" si="40"/>
        <v>0</v>
      </c>
      <c r="H481" s="39">
        <f t="shared" si="40"/>
        <v>0</v>
      </c>
      <c r="I481" s="64">
        <f t="shared" si="35"/>
        <v>0</v>
      </c>
      <c r="J481" s="64"/>
      <c r="K481" s="64"/>
      <c r="L481" s="64">
        <f t="shared" si="37"/>
        <v>0</v>
      </c>
      <c r="M481" s="64"/>
    </row>
    <row r="482" spans="1:13" ht="31.5" customHeight="1" hidden="1">
      <c r="A482" s="114"/>
      <c r="B482" s="114"/>
      <c r="C482" s="18" t="s">
        <v>213</v>
      </c>
      <c r="D482" s="20" t="s">
        <v>214</v>
      </c>
      <c r="E482" s="39">
        <f t="shared" si="40"/>
        <v>0</v>
      </c>
      <c r="F482" s="39">
        <f t="shared" si="40"/>
        <v>0</v>
      </c>
      <c r="G482" s="39">
        <f t="shared" si="40"/>
        <v>0</v>
      </c>
      <c r="H482" s="39">
        <f t="shared" si="40"/>
        <v>0</v>
      </c>
      <c r="I482" s="64">
        <f t="shared" si="35"/>
        <v>0</v>
      </c>
      <c r="J482" s="64" t="e">
        <f t="shared" si="36"/>
        <v>#DIV/0!</v>
      </c>
      <c r="K482" s="64"/>
      <c r="L482" s="64">
        <f t="shared" si="37"/>
        <v>0</v>
      </c>
      <c r="M482" s="64" t="e">
        <f t="shared" si="38"/>
        <v>#DIV/0!</v>
      </c>
    </row>
    <row r="483" spans="1:13" ht="94.5">
      <c r="A483" s="114"/>
      <c r="B483" s="114"/>
      <c r="C483" s="16" t="s">
        <v>19</v>
      </c>
      <c r="D483" s="17" t="s">
        <v>215</v>
      </c>
      <c r="E483" s="39">
        <f t="shared" si="40"/>
        <v>7518.9</v>
      </c>
      <c r="F483" s="39">
        <f t="shared" si="40"/>
        <v>405179.2</v>
      </c>
      <c r="G483" s="39">
        <f t="shared" si="40"/>
        <v>6391.07</v>
      </c>
      <c r="H483" s="39">
        <f t="shared" si="40"/>
        <v>14537.77</v>
      </c>
      <c r="I483" s="64">
        <f t="shared" si="35"/>
        <v>8146.700000000001</v>
      </c>
      <c r="J483" s="64">
        <f t="shared" si="36"/>
        <v>227.47004805142174</v>
      </c>
      <c r="K483" s="64">
        <f aca="true" t="shared" si="41" ref="K483:K517">H483/F483*100</f>
        <v>3.587985266765915</v>
      </c>
      <c r="L483" s="64">
        <f t="shared" si="37"/>
        <v>7018.870000000001</v>
      </c>
      <c r="M483" s="64"/>
    </row>
    <row r="484" spans="1:13" ht="31.5">
      <c r="A484" s="114"/>
      <c r="B484" s="114"/>
      <c r="C484" s="18" t="s">
        <v>187</v>
      </c>
      <c r="D484" s="20" t="s">
        <v>188</v>
      </c>
      <c r="E484" s="39">
        <f t="shared" si="40"/>
        <v>1.2</v>
      </c>
      <c r="F484" s="39">
        <f t="shared" si="40"/>
        <v>37924.1</v>
      </c>
      <c r="G484" s="39">
        <f t="shared" si="40"/>
        <v>0</v>
      </c>
      <c r="H484" s="39">
        <f t="shared" si="40"/>
        <v>1236.24</v>
      </c>
      <c r="I484" s="64">
        <f t="shared" si="35"/>
        <v>1236.24</v>
      </c>
      <c r="J484" s="64"/>
      <c r="K484" s="64">
        <f t="shared" si="41"/>
        <v>3.2597741277973635</v>
      </c>
      <c r="L484" s="64">
        <f t="shared" si="37"/>
        <v>1235.04</v>
      </c>
      <c r="M484" s="64">
        <f t="shared" si="38"/>
        <v>103020</v>
      </c>
    </row>
    <row r="485" spans="1:13" ht="16.5" customHeight="1">
      <c r="A485" s="114"/>
      <c r="B485" s="114"/>
      <c r="C485" s="18" t="s">
        <v>21</v>
      </c>
      <c r="D485" s="19" t="s">
        <v>167</v>
      </c>
      <c r="E485" s="39">
        <f t="shared" si="40"/>
        <v>30381.4</v>
      </c>
      <c r="F485" s="39">
        <f t="shared" si="40"/>
        <v>420216.8</v>
      </c>
      <c r="G485" s="39">
        <f t="shared" si="40"/>
        <v>25955.4</v>
      </c>
      <c r="H485" s="39">
        <f t="shared" si="40"/>
        <v>23993.34</v>
      </c>
      <c r="I485" s="64">
        <f t="shared" si="35"/>
        <v>-1962.0600000000013</v>
      </c>
      <c r="J485" s="64">
        <f t="shared" si="36"/>
        <v>92.4406481888162</v>
      </c>
      <c r="K485" s="64">
        <f t="shared" si="41"/>
        <v>5.709752680045158</v>
      </c>
      <c r="L485" s="64">
        <f t="shared" si="37"/>
        <v>-6388.060000000001</v>
      </c>
      <c r="M485" s="64">
        <f t="shared" si="38"/>
        <v>78.97378001013777</v>
      </c>
    </row>
    <row r="486" spans="1:13" ht="33.75" customHeight="1">
      <c r="A486" s="114"/>
      <c r="B486" s="114"/>
      <c r="C486" s="18" t="s">
        <v>23</v>
      </c>
      <c r="D486" s="20" t="s">
        <v>24</v>
      </c>
      <c r="E486" s="39">
        <f t="shared" si="40"/>
        <v>0</v>
      </c>
      <c r="F486" s="39">
        <f t="shared" si="40"/>
        <v>3687</v>
      </c>
      <c r="G486" s="39">
        <f t="shared" si="40"/>
        <v>0</v>
      </c>
      <c r="H486" s="39">
        <f t="shared" si="40"/>
        <v>0</v>
      </c>
      <c r="I486" s="64">
        <f t="shared" si="35"/>
        <v>0</v>
      </c>
      <c r="J486" s="64"/>
      <c r="K486" s="64">
        <f t="shared" si="41"/>
        <v>0</v>
      </c>
      <c r="L486" s="64">
        <f t="shared" si="37"/>
        <v>0</v>
      </c>
      <c r="M486" s="64"/>
    </row>
    <row r="487" spans="1:13" ht="78.75">
      <c r="A487" s="114"/>
      <c r="B487" s="114"/>
      <c r="C487" s="16" t="s">
        <v>25</v>
      </c>
      <c r="D487" s="21" t="s">
        <v>216</v>
      </c>
      <c r="E487" s="39">
        <f t="shared" si="40"/>
        <v>4958.8</v>
      </c>
      <c r="F487" s="39">
        <f t="shared" si="40"/>
        <v>172587.9</v>
      </c>
      <c r="G487" s="39">
        <f t="shared" si="40"/>
        <v>14295.14</v>
      </c>
      <c r="H487" s="39">
        <f t="shared" si="40"/>
        <v>13735.14</v>
      </c>
      <c r="I487" s="64">
        <f t="shared" si="35"/>
        <v>-560</v>
      </c>
      <c r="J487" s="64">
        <f t="shared" si="36"/>
        <v>96.08258471060795</v>
      </c>
      <c r="K487" s="64">
        <f t="shared" si="41"/>
        <v>7.958344704350652</v>
      </c>
      <c r="L487" s="64">
        <f t="shared" si="37"/>
        <v>8776.34</v>
      </c>
      <c r="M487" s="64">
        <f t="shared" si="38"/>
        <v>276.9851576994434</v>
      </c>
    </row>
    <row r="488" spans="1:13" ht="16.5" customHeight="1">
      <c r="A488" s="114"/>
      <c r="B488" s="114"/>
      <c r="C488" s="18" t="s">
        <v>85</v>
      </c>
      <c r="D488" s="108" t="s">
        <v>86</v>
      </c>
      <c r="E488" s="39">
        <f t="shared" si="40"/>
        <v>1394.9</v>
      </c>
      <c r="F488" s="39">
        <f t="shared" si="40"/>
        <v>11611.7</v>
      </c>
      <c r="G488" s="39">
        <f t="shared" si="40"/>
        <v>1277.3</v>
      </c>
      <c r="H488" s="39">
        <f t="shared" si="40"/>
        <v>1206.5</v>
      </c>
      <c r="I488" s="64">
        <f t="shared" si="35"/>
        <v>-70.79999999999995</v>
      </c>
      <c r="J488" s="64">
        <f t="shared" si="36"/>
        <v>94.45705785641589</v>
      </c>
      <c r="K488" s="64">
        <f t="shared" si="41"/>
        <v>10.390382114591317</v>
      </c>
      <c r="L488" s="64">
        <f t="shared" si="37"/>
        <v>-188.4000000000001</v>
      </c>
      <c r="M488" s="64">
        <f t="shared" si="38"/>
        <v>86.49365545917269</v>
      </c>
    </row>
    <row r="489" spans="1:13" ht="31.5">
      <c r="A489" s="114"/>
      <c r="B489" s="114"/>
      <c r="C489" s="18" t="s">
        <v>27</v>
      </c>
      <c r="D489" s="22" t="s">
        <v>28</v>
      </c>
      <c r="E489" s="39">
        <f t="shared" si="40"/>
        <v>2165.7999999999997</v>
      </c>
      <c r="F489" s="39">
        <f t="shared" si="40"/>
        <v>2696</v>
      </c>
      <c r="G489" s="39">
        <f t="shared" si="40"/>
        <v>0</v>
      </c>
      <c r="H489" s="39">
        <f t="shared" si="40"/>
        <v>799.4300000000001</v>
      </c>
      <c r="I489" s="64">
        <f t="shared" si="35"/>
        <v>799.4300000000001</v>
      </c>
      <c r="J489" s="64"/>
      <c r="K489" s="64">
        <f t="shared" si="41"/>
        <v>29.652448071216618</v>
      </c>
      <c r="L489" s="64">
        <f t="shared" si="37"/>
        <v>-1366.3699999999997</v>
      </c>
      <c r="M489" s="64">
        <f t="shared" si="38"/>
        <v>36.91153384430696</v>
      </c>
    </row>
    <row r="490" spans="1:13" ht="17.25" customHeight="1">
      <c r="A490" s="114"/>
      <c r="B490" s="114"/>
      <c r="C490" s="18" t="s">
        <v>113</v>
      </c>
      <c r="D490" s="20" t="s">
        <v>114</v>
      </c>
      <c r="E490" s="39">
        <f t="shared" si="40"/>
        <v>0</v>
      </c>
      <c r="F490" s="39">
        <f t="shared" si="40"/>
        <v>389.3</v>
      </c>
      <c r="G490" s="39">
        <f t="shared" si="40"/>
        <v>0</v>
      </c>
      <c r="H490" s="39">
        <f t="shared" si="40"/>
        <v>65.75</v>
      </c>
      <c r="I490" s="64">
        <f t="shared" si="35"/>
        <v>65.75</v>
      </c>
      <c r="J490" s="64"/>
      <c r="K490" s="64">
        <f t="shared" si="41"/>
        <v>16.889288466478295</v>
      </c>
      <c r="L490" s="64">
        <f t="shared" si="37"/>
        <v>65.75</v>
      </c>
      <c r="M490" s="64"/>
    </row>
    <row r="491" spans="1:13" ht="99.75" customHeight="1">
      <c r="A491" s="114"/>
      <c r="B491" s="114"/>
      <c r="C491" s="16" t="s">
        <v>29</v>
      </c>
      <c r="D491" s="23" t="s">
        <v>30</v>
      </c>
      <c r="E491" s="39">
        <f t="shared" si="40"/>
        <v>5</v>
      </c>
      <c r="F491" s="39">
        <f t="shared" si="40"/>
        <v>0</v>
      </c>
      <c r="G491" s="39">
        <f t="shared" si="40"/>
        <v>0</v>
      </c>
      <c r="H491" s="39">
        <f t="shared" si="40"/>
        <v>9.34</v>
      </c>
      <c r="I491" s="64">
        <f t="shared" si="35"/>
        <v>9.34</v>
      </c>
      <c r="J491" s="64"/>
      <c r="K491" s="64"/>
      <c r="L491" s="64">
        <f t="shared" si="37"/>
        <v>4.34</v>
      </c>
      <c r="M491" s="64">
        <f t="shared" si="38"/>
        <v>186.79999999999998</v>
      </c>
    </row>
    <row r="492" spans="1:13" ht="99" customHeight="1">
      <c r="A492" s="114"/>
      <c r="B492" s="114"/>
      <c r="C492" s="16" t="s">
        <v>31</v>
      </c>
      <c r="D492" s="21" t="s">
        <v>217</v>
      </c>
      <c r="E492" s="39">
        <f t="shared" si="40"/>
        <v>11280</v>
      </c>
      <c r="F492" s="39">
        <f t="shared" si="40"/>
        <v>1162983.4</v>
      </c>
      <c r="G492" s="39">
        <f t="shared" si="40"/>
        <v>47100.1</v>
      </c>
      <c r="H492" s="39">
        <f t="shared" si="40"/>
        <v>41569.96</v>
      </c>
      <c r="I492" s="64">
        <f t="shared" si="35"/>
        <v>-5530.139999999999</v>
      </c>
      <c r="J492" s="64">
        <f t="shared" si="36"/>
        <v>88.2587510429914</v>
      </c>
      <c r="K492" s="64">
        <f t="shared" si="41"/>
        <v>3.5744241921251843</v>
      </c>
      <c r="L492" s="64">
        <f t="shared" si="37"/>
        <v>30289.96</v>
      </c>
      <c r="M492" s="64">
        <f t="shared" si="38"/>
        <v>368.52801418439714</v>
      </c>
    </row>
    <row r="493" spans="1:13" ht="63">
      <c r="A493" s="114"/>
      <c r="B493" s="114"/>
      <c r="C493" s="16" t="s">
        <v>33</v>
      </c>
      <c r="D493" s="21" t="s">
        <v>34</v>
      </c>
      <c r="E493" s="39">
        <f t="shared" si="40"/>
        <v>17572.3</v>
      </c>
      <c r="F493" s="39">
        <f t="shared" si="40"/>
        <v>194210.3</v>
      </c>
      <c r="G493" s="39">
        <f t="shared" si="40"/>
        <v>14478.31</v>
      </c>
      <c r="H493" s="39">
        <f t="shared" si="40"/>
        <v>7194.39</v>
      </c>
      <c r="I493" s="64">
        <f t="shared" si="35"/>
        <v>-7283.919999999999</v>
      </c>
      <c r="J493" s="64">
        <f t="shared" si="36"/>
        <v>49.69081336150421</v>
      </c>
      <c r="K493" s="64">
        <f t="shared" si="41"/>
        <v>3.7044327721032304</v>
      </c>
      <c r="L493" s="64">
        <f t="shared" si="37"/>
        <v>-10377.91</v>
      </c>
      <c r="M493" s="64">
        <f t="shared" si="38"/>
        <v>40.94165248715308</v>
      </c>
    </row>
    <row r="494" spans="1:13" ht="15.75">
      <c r="A494" s="114"/>
      <c r="B494" s="114"/>
      <c r="C494" s="18" t="s">
        <v>35</v>
      </c>
      <c r="D494" s="20" t="s">
        <v>36</v>
      </c>
      <c r="E494" s="39">
        <f t="shared" si="40"/>
        <v>7326.2</v>
      </c>
      <c r="F494" s="39">
        <f t="shared" si="40"/>
        <v>136184.3</v>
      </c>
      <c r="G494" s="39">
        <f t="shared" si="40"/>
        <v>7805</v>
      </c>
      <c r="H494" s="39">
        <f t="shared" si="40"/>
        <v>7242.53</v>
      </c>
      <c r="I494" s="64">
        <f t="shared" si="35"/>
        <v>-562.4700000000003</v>
      </c>
      <c r="J494" s="64">
        <f t="shared" si="36"/>
        <v>92.79346572709801</v>
      </c>
      <c r="K494" s="64">
        <f t="shared" si="41"/>
        <v>5.318182786121454</v>
      </c>
      <c r="L494" s="64">
        <f t="shared" si="37"/>
        <v>-83.67000000000007</v>
      </c>
      <c r="M494" s="64">
        <f t="shared" si="38"/>
        <v>98.8579345363217</v>
      </c>
    </row>
    <row r="495" spans="1:13" ht="63" customHeight="1" hidden="1">
      <c r="A495" s="114"/>
      <c r="B495" s="114"/>
      <c r="C495" s="16" t="s">
        <v>148</v>
      </c>
      <c r="D495" s="21" t="s">
        <v>149</v>
      </c>
      <c r="E495" s="39">
        <f t="shared" si="40"/>
        <v>81.2</v>
      </c>
      <c r="F495" s="39">
        <f t="shared" si="40"/>
        <v>2000</v>
      </c>
      <c r="G495" s="39">
        <f t="shared" si="40"/>
        <v>75.7</v>
      </c>
      <c r="H495" s="39">
        <f t="shared" si="40"/>
        <v>149.77</v>
      </c>
      <c r="I495" s="64">
        <f t="shared" si="35"/>
        <v>74.07000000000001</v>
      </c>
      <c r="J495" s="64">
        <f t="shared" si="36"/>
        <v>197.84676354029062</v>
      </c>
      <c r="K495" s="64">
        <f t="shared" si="41"/>
        <v>7.488500000000001</v>
      </c>
      <c r="L495" s="64">
        <f t="shared" si="37"/>
        <v>68.57000000000001</v>
      </c>
      <c r="M495" s="64">
        <f t="shared" si="38"/>
        <v>184.44581280788177</v>
      </c>
    </row>
    <row r="496" spans="1:13" ht="63" customHeight="1" hidden="1">
      <c r="A496" s="114"/>
      <c r="B496" s="114"/>
      <c r="C496" s="16" t="s">
        <v>157</v>
      </c>
      <c r="D496" s="21" t="s">
        <v>158</v>
      </c>
      <c r="E496" s="39">
        <f t="shared" si="40"/>
        <v>36.7</v>
      </c>
      <c r="F496" s="39">
        <f t="shared" si="40"/>
        <v>500</v>
      </c>
      <c r="G496" s="39">
        <f t="shared" si="40"/>
        <v>35</v>
      </c>
      <c r="H496" s="39">
        <f t="shared" si="40"/>
        <v>15.5</v>
      </c>
      <c r="I496" s="64">
        <f t="shared" si="35"/>
        <v>-19.5</v>
      </c>
      <c r="J496" s="64">
        <f t="shared" si="36"/>
        <v>44.285714285714285</v>
      </c>
      <c r="K496" s="64">
        <f t="shared" si="41"/>
        <v>3.1</v>
      </c>
      <c r="L496" s="64">
        <f t="shared" si="37"/>
        <v>-21.200000000000003</v>
      </c>
      <c r="M496" s="64">
        <f t="shared" si="38"/>
        <v>42.23433242506812</v>
      </c>
    </row>
    <row r="497" spans="1:13" ht="63" customHeight="1" hidden="1">
      <c r="A497" s="114"/>
      <c r="B497" s="114"/>
      <c r="C497" s="16" t="s">
        <v>150</v>
      </c>
      <c r="D497" s="21" t="s">
        <v>151</v>
      </c>
      <c r="E497" s="39">
        <f t="shared" si="40"/>
        <v>32.8</v>
      </c>
      <c r="F497" s="39">
        <f t="shared" si="40"/>
        <v>1000</v>
      </c>
      <c r="G497" s="39">
        <f t="shared" si="40"/>
        <v>61</v>
      </c>
      <c r="H497" s="39">
        <f t="shared" si="40"/>
        <v>32.88</v>
      </c>
      <c r="I497" s="64">
        <f t="shared" si="35"/>
        <v>-28.119999999999997</v>
      </c>
      <c r="J497" s="64">
        <f t="shared" si="36"/>
        <v>53.9016393442623</v>
      </c>
      <c r="K497" s="64">
        <f t="shared" si="41"/>
        <v>3.288</v>
      </c>
      <c r="L497" s="64">
        <f t="shared" si="37"/>
        <v>0.0800000000000054</v>
      </c>
      <c r="M497" s="64">
        <f t="shared" si="38"/>
        <v>100.24390243902441</v>
      </c>
    </row>
    <row r="498" spans="1:13" ht="63" customHeight="1" hidden="1">
      <c r="A498" s="114"/>
      <c r="B498" s="114"/>
      <c r="C498" s="16" t="s">
        <v>159</v>
      </c>
      <c r="D498" s="21" t="s">
        <v>160</v>
      </c>
      <c r="E498" s="39">
        <f t="shared" si="40"/>
        <v>19.6</v>
      </c>
      <c r="F498" s="39">
        <f t="shared" si="40"/>
        <v>529.4</v>
      </c>
      <c r="G498" s="39">
        <f t="shared" si="40"/>
        <v>27.9</v>
      </c>
      <c r="H498" s="39">
        <f t="shared" si="40"/>
        <v>15.5</v>
      </c>
      <c r="I498" s="64">
        <f t="shared" si="35"/>
        <v>-12.399999999999999</v>
      </c>
      <c r="J498" s="64">
        <f t="shared" si="36"/>
        <v>55.55555555555556</v>
      </c>
      <c r="K498" s="64">
        <f t="shared" si="41"/>
        <v>2.927842840952021</v>
      </c>
      <c r="L498" s="64">
        <f t="shared" si="37"/>
        <v>-4.100000000000001</v>
      </c>
      <c r="M498" s="64">
        <f t="shared" si="38"/>
        <v>79.08163265306122</v>
      </c>
    </row>
    <row r="499" spans="1:13" ht="31.5" customHeight="1" hidden="1">
      <c r="A499" s="114"/>
      <c r="B499" s="114"/>
      <c r="C499" s="16" t="s">
        <v>60</v>
      </c>
      <c r="D499" s="21" t="s">
        <v>61</v>
      </c>
      <c r="E499" s="39">
        <f t="shared" si="40"/>
        <v>59.5</v>
      </c>
      <c r="F499" s="39">
        <f t="shared" si="40"/>
        <v>0</v>
      </c>
      <c r="G499" s="39">
        <f t="shared" si="40"/>
        <v>0</v>
      </c>
      <c r="H499" s="39">
        <f t="shared" si="40"/>
        <v>0</v>
      </c>
      <c r="I499" s="64">
        <f t="shared" si="35"/>
        <v>0</v>
      </c>
      <c r="J499" s="64" t="e">
        <f t="shared" si="36"/>
        <v>#DIV/0!</v>
      </c>
      <c r="K499" s="64" t="e">
        <f t="shared" si="41"/>
        <v>#DIV/0!</v>
      </c>
      <c r="L499" s="64">
        <f t="shared" si="37"/>
        <v>-59.5</v>
      </c>
      <c r="M499" s="64">
        <f t="shared" si="38"/>
        <v>0</v>
      </c>
    </row>
    <row r="500" spans="1:13" ht="47.25" customHeight="1" hidden="1">
      <c r="A500" s="114"/>
      <c r="B500" s="114"/>
      <c r="C500" s="16" t="s">
        <v>161</v>
      </c>
      <c r="D500" s="21" t="s">
        <v>162</v>
      </c>
      <c r="E500" s="39">
        <f t="shared" si="40"/>
        <v>0</v>
      </c>
      <c r="F500" s="39">
        <f t="shared" si="40"/>
        <v>2.2</v>
      </c>
      <c r="G500" s="39">
        <f t="shared" si="40"/>
        <v>0</v>
      </c>
      <c r="H500" s="39">
        <f t="shared" si="40"/>
        <v>0.3</v>
      </c>
      <c r="I500" s="64">
        <f t="shared" si="35"/>
        <v>0.3</v>
      </c>
      <c r="J500" s="64" t="e">
        <f t="shared" si="36"/>
        <v>#DIV/0!</v>
      </c>
      <c r="K500" s="64">
        <f t="shared" si="41"/>
        <v>13.636363636363635</v>
      </c>
      <c r="L500" s="64">
        <f t="shared" si="37"/>
        <v>0.3</v>
      </c>
      <c r="M500" s="64" t="e">
        <f t="shared" si="38"/>
        <v>#DIV/0!</v>
      </c>
    </row>
    <row r="501" spans="1:13" ht="47.25" customHeight="1" hidden="1">
      <c r="A501" s="114"/>
      <c r="B501" s="114"/>
      <c r="C501" s="16" t="s">
        <v>37</v>
      </c>
      <c r="D501" s="24" t="s">
        <v>38</v>
      </c>
      <c r="E501" s="39">
        <f aca="true" t="shared" si="42" ref="E501:H517">SUMIF($C$5:$C$456,$C501,E$5:E$456)</f>
        <v>0</v>
      </c>
      <c r="F501" s="39">
        <f t="shared" si="42"/>
        <v>0</v>
      </c>
      <c r="G501" s="39">
        <f t="shared" si="42"/>
        <v>0</v>
      </c>
      <c r="H501" s="39">
        <f t="shared" si="42"/>
        <v>0</v>
      </c>
      <c r="I501" s="64">
        <f t="shared" si="35"/>
        <v>0</v>
      </c>
      <c r="J501" s="64" t="e">
        <f t="shared" si="36"/>
        <v>#DIV/0!</v>
      </c>
      <c r="K501" s="64" t="e">
        <f t="shared" si="41"/>
        <v>#DIV/0!</v>
      </c>
      <c r="L501" s="64">
        <f t="shared" si="37"/>
        <v>0</v>
      </c>
      <c r="M501" s="64" t="e">
        <f t="shared" si="38"/>
        <v>#DIV/0!</v>
      </c>
    </row>
    <row r="502" spans="1:13" ht="31.5" customHeight="1" hidden="1">
      <c r="A502" s="114"/>
      <c r="B502" s="114"/>
      <c r="C502" s="16" t="s">
        <v>87</v>
      </c>
      <c r="D502" s="21" t="s">
        <v>88</v>
      </c>
      <c r="E502" s="39">
        <f t="shared" si="42"/>
        <v>102.5</v>
      </c>
      <c r="F502" s="39">
        <f t="shared" si="42"/>
        <v>1400</v>
      </c>
      <c r="G502" s="39">
        <f t="shared" si="42"/>
        <v>42</v>
      </c>
      <c r="H502" s="39">
        <f t="shared" si="42"/>
        <v>0</v>
      </c>
      <c r="I502" s="64">
        <f t="shared" si="35"/>
        <v>-42</v>
      </c>
      <c r="J502" s="64">
        <f t="shared" si="36"/>
        <v>0</v>
      </c>
      <c r="K502" s="64">
        <f t="shared" si="41"/>
        <v>0</v>
      </c>
      <c r="L502" s="64">
        <f t="shared" si="37"/>
        <v>-102.5</v>
      </c>
      <c r="M502" s="64">
        <f t="shared" si="38"/>
        <v>0</v>
      </c>
    </row>
    <row r="503" spans="1:13" ht="31.5" customHeight="1" hidden="1">
      <c r="A503" s="114"/>
      <c r="B503" s="114"/>
      <c r="C503" s="16" t="s">
        <v>218</v>
      </c>
      <c r="D503" s="21" t="s">
        <v>219</v>
      </c>
      <c r="E503" s="39">
        <f t="shared" si="42"/>
        <v>0</v>
      </c>
      <c r="F503" s="39">
        <f t="shared" si="42"/>
        <v>0</v>
      </c>
      <c r="G503" s="39">
        <f t="shared" si="42"/>
        <v>0</v>
      </c>
      <c r="H503" s="39">
        <f t="shared" si="42"/>
        <v>0</v>
      </c>
      <c r="I503" s="64">
        <f t="shared" si="35"/>
        <v>0</v>
      </c>
      <c r="J503" s="64" t="e">
        <f t="shared" si="36"/>
        <v>#DIV/0!</v>
      </c>
      <c r="K503" s="64" t="e">
        <f t="shared" si="41"/>
        <v>#DIV/0!</v>
      </c>
      <c r="L503" s="64">
        <f t="shared" si="37"/>
        <v>0</v>
      </c>
      <c r="M503" s="64" t="e">
        <f t="shared" si="38"/>
        <v>#DIV/0!</v>
      </c>
    </row>
    <row r="504" spans="1:13" ht="31.5" customHeight="1" hidden="1">
      <c r="A504" s="114"/>
      <c r="B504" s="114"/>
      <c r="C504" s="16" t="s">
        <v>89</v>
      </c>
      <c r="D504" s="21" t="s">
        <v>90</v>
      </c>
      <c r="E504" s="39">
        <f t="shared" si="42"/>
        <v>530.7</v>
      </c>
      <c r="F504" s="39">
        <f t="shared" si="42"/>
        <v>1100</v>
      </c>
      <c r="G504" s="39">
        <f t="shared" si="42"/>
        <v>77</v>
      </c>
      <c r="H504" s="39">
        <f t="shared" si="42"/>
        <v>45.88</v>
      </c>
      <c r="I504" s="64">
        <f t="shared" si="35"/>
        <v>-31.119999999999997</v>
      </c>
      <c r="J504" s="64">
        <f t="shared" si="36"/>
        <v>59.58441558441558</v>
      </c>
      <c r="K504" s="64">
        <f t="shared" si="41"/>
        <v>4.170909090909091</v>
      </c>
      <c r="L504" s="64">
        <f t="shared" si="37"/>
        <v>-484.82000000000005</v>
      </c>
      <c r="M504" s="64">
        <f t="shared" si="38"/>
        <v>8.645185603919352</v>
      </c>
    </row>
    <row r="505" spans="1:13" ht="31.5" customHeight="1" hidden="1">
      <c r="A505" s="114"/>
      <c r="B505" s="114"/>
      <c r="C505" s="16" t="s">
        <v>91</v>
      </c>
      <c r="D505" s="21" t="s">
        <v>92</v>
      </c>
      <c r="E505" s="39">
        <f t="shared" si="42"/>
        <v>0</v>
      </c>
      <c r="F505" s="39">
        <f t="shared" si="42"/>
        <v>0</v>
      </c>
      <c r="G505" s="39">
        <f t="shared" si="42"/>
        <v>0</v>
      </c>
      <c r="H505" s="39">
        <f t="shared" si="42"/>
        <v>0</v>
      </c>
      <c r="I505" s="64">
        <f t="shared" si="35"/>
        <v>0</v>
      </c>
      <c r="J505" s="64" t="e">
        <f t="shared" si="36"/>
        <v>#DIV/0!</v>
      </c>
      <c r="K505" s="64" t="e">
        <f t="shared" si="41"/>
        <v>#DIV/0!</v>
      </c>
      <c r="L505" s="64">
        <f t="shared" si="37"/>
        <v>0</v>
      </c>
      <c r="M505" s="64" t="e">
        <f t="shared" si="38"/>
        <v>#DIV/0!</v>
      </c>
    </row>
    <row r="506" spans="1:13" ht="31.5" customHeight="1" hidden="1">
      <c r="A506" s="114"/>
      <c r="B506" s="114"/>
      <c r="C506" s="16" t="s">
        <v>93</v>
      </c>
      <c r="D506" s="21" t="s">
        <v>94</v>
      </c>
      <c r="E506" s="39">
        <f t="shared" si="42"/>
        <v>44</v>
      </c>
      <c r="F506" s="39">
        <f t="shared" si="42"/>
        <v>3553.3</v>
      </c>
      <c r="G506" s="39">
        <f t="shared" si="42"/>
        <v>71.1</v>
      </c>
      <c r="H506" s="39">
        <f t="shared" si="42"/>
        <v>235</v>
      </c>
      <c r="I506" s="64">
        <f t="shared" si="35"/>
        <v>163.9</v>
      </c>
      <c r="J506" s="64">
        <f t="shared" si="36"/>
        <v>330.5203938115331</v>
      </c>
      <c r="K506" s="64">
        <f t="shared" si="41"/>
        <v>6.6135704837756455</v>
      </c>
      <c r="L506" s="64">
        <f t="shared" si="37"/>
        <v>191</v>
      </c>
      <c r="M506" s="64">
        <f t="shared" si="38"/>
        <v>534.0909090909091</v>
      </c>
    </row>
    <row r="507" spans="1:13" ht="31.5" customHeight="1" hidden="1">
      <c r="A507" s="114"/>
      <c r="B507" s="114"/>
      <c r="C507" s="16" t="s">
        <v>193</v>
      </c>
      <c r="D507" s="21" t="s">
        <v>194</v>
      </c>
      <c r="E507" s="39">
        <f t="shared" si="42"/>
        <v>19.6</v>
      </c>
      <c r="F507" s="39">
        <f t="shared" si="42"/>
        <v>729</v>
      </c>
      <c r="G507" s="39">
        <f t="shared" si="42"/>
        <v>23.8</v>
      </c>
      <c r="H507" s="39">
        <f t="shared" si="42"/>
        <v>18.9</v>
      </c>
      <c r="I507" s="64">
        <f t="shared" si="35"/>
        <v>-4.900000000000002</v>
      </c>
      <c r="J507" s="64">
        <f t="shared" si="36"/>
        <v>79.41176470588235</v>
      </c>
      <c r="K507" s="64">
        <f t="shared" si="41"/>
        <v>2.5925925925925926</v>
      </c>
      <c r="L507" s="64">
        <f t="shared" si="37"/>
        <v>-0.7000000000000028</v>
      </c>
      <c r="M507" s="64">
        <f t="shared" si="38"/>
        <v>96.42857142857142</v>
      </c>
    </row>
    <row r="508" spans="1:13" ht="31.5" customHeight="1" hidden="1">
      <c r="A508" s="114"/>
      <c r="B508" s="114"/>
      <c r="C508" s="16" t="s">
        <v>95</v>
      </c>
      <c r="D508" s="21" t="s">
        <v>96</v>
      </c>
      <c r="E508" s="39">
        <f t="shared" si="42"/>
        <v>0</v>
      </c>
      <c r="F508" s="39">
        <f t="shared" si="42"/>
        <v>0</v>
      </c>
      <c r="G508" s="39">
        <f t="shared" si="42"/>
        <v>0</v>
      </c>
      <c r="H508" s="39">
        <f t="shared" si="42"/>
        <v>0</v>
      </c>
      <c r="I508" s="64">
        <f t="shared" si="35"/>
        <v>0</v>
      </c>
      <c r="J508" s="64" t="e">
        <f t="shared" si="36"/>
        <v>#DIV/0!</v>
      </c>
      <c r="K508" s="64" t="e">
        <f t="shared" si="41"/>
        <v>#DIV/0!</v>
      </c>
      <c r="L508" s="64">
        <f t="shared" si="37"/>
        <v>0</v>
      </c>
      <c r="M508" s="64" t="e">
        <f t="shared" si="38"/>
        <v>#DIV/0!</v>
      </c>
    </row>
    <row r="509" spans="1:13" ht="31.5" customHeight="1" hidden="1">
      <c r="A509" s="114"/>
      <c r="B509" s="114"/>
      <c r="C509" s="16" t="s">
        <v>97</v>
      </c>
      <c r="D509" s="21" t="s">
        <v>98</v>
      </c>
      <c r="E509" s="39">
        <f t="shared" si="42"/>
        <v>0</v>
      </c>
      <c r="F509" s="39">
        <f t="shared" si="42"/>
        <v>0</v>
      </c>
      <c r="G509" s="39">
        <f t="shared" si="42"/>
        <v>0</v>
      </c>
      <c r="H509" s="39">
        <f t="shared" si="42"/>
        <v>0</v>
      </c>
      <c r="I509" s="64">
        <f t="shared" si="35"/>
        <v>0</v>
      </c>
      <c r="J509" s="64" t="e">
        <f t="shared" si="36"/>
        <v>#DIV/0!</v>
      </c>
      <c r="K509" s="64" t="e">
        <f t="shared" si="41"/>
        <v>#DIV/0!</v>
      </c>
      <c r="L509" s="64">
        <f t="shared" si="37"/>
        <v>0</v>
      </c>
      <c r="M509" s="64" t="e">
        <f t="shared" si="38"/>
        <v>#DIV/0!</v>
      </c>
    </row>
    <row r="510" spans="1:13" ht="63" customHeight="1" hidden="1">
      <c r="A510" s="114"/>
      <c r="B510" s="114"/>
      <c r="C510" s="16" t="s">
        <v>171</v>
      </c>
      <c r="D510" s="21" t="s">
        <v>172</v>
      </c>
      <c r="E510" s="39">
        <f t="shared" si="42"/>
        <v>1115.2</v>
      </c>
      <c r="F510" s="39">
        <f t="shared" si="42"/>
        <v>9124</v>
      </c>
      <c r="G510" s="39">
        <f t="shared" si="42"/>
        <v>500</v>
      </c>
      <c r="H510" s="39">
        <f t="shared" si="42"/>
        <v>610.99</v>
      </c>
      <c r="I510" s="64">
        <f t="shared" si="35"/>
        <v>110.99000000000001</v>
      </c>
      <c r="J510" s="64">
        <f t="shared" si="36"/>
        <v>122.19800000000001</v>
      </c>
      <c r="K510" s="64">
        <f t="shared" si="41"/>
        <v>6.696514686540992</v>
      </c>
      <c r="L510" s="64">
        <f t="shared" si="37"/>
        <v>-504.21000000000004</v>
      </c>
      <c r="M510" s="64">
        <f t="shared" si="38"/>
        <v>54.787482065997125</v>
      </c>
    </row>
    <row r="511" spans="1:13" ht="31.5" customHeight="1" hidden="1">
      <c r="A511" s="114"/>
      <c r="B511" s="114"/>
      <c r="C511" s="16" t="s">
        <v>140</v>
      </c>
      <c r="D511" s="21" t="s">
        <v>141</v>
      </c>
      <c r="E511" s="39">
        <f t="shared" si="42"/>
        <v>3632.7</v>
      </c>
      <c r="F511" s="39">
        <f t="shared" si="42"/>
        <v>80638.8</v>
      </c>
      <c r="G511" s="39">
        <f t="shared" si="42"/>
        <v>5300.5</v>
      </c>
      <c r="H511" s="39">
        <f t="shared" si="42"/>
        <v>3496.81</v>
      </c>
      <c r="I511" s="64">
        <f t="shared" si="35"/>
        <v>-1803.69</v>
      </c>
      <c r="J511" s="64">
        <f t="shared" si="36"/>
        <v>65.97132346005094</v>
      </c>
      <c r="K511" s="64">
        <f t="shared" si="41"/>
        <v>4.336386454163504</v>
      </c>
      <c r="L511" s="64">
        <f t="shared" si="37"/>
        <v>-135.88999999999987</v>
      </c>
      <c r="M511" s="64">
        <f t="shared" si="38"/>
        <v>96.25925620062213</v>
      </c>
    </row>
    <row r="512" spans="1:13" ht="47.25" customHeight="1" hidden="1">
      <c r="A512" s="114"/>
      <c r="B512" s="114"/>
      <c r="C512" s="16" t="s">
        <v>62</v>
      </c>
      <c r="D512" s="65" t="s">
        <v>63</v>
      </c>
      <c r="E512" s="39">
        <f t="shared" si="42"/>
        <v>0</v>
      </c>
      <c r="F512" s="39">
        <f t="shared" si="42"/>
        <v>0</v>
      </c>
      <c r="G512" s="39">
        <f t="shared" si="42"/>
        <v>0</v>
      </c>
      <c r="H512" s="39">
        <f t="shared" si="42"/>
        <v>0</v>
      </c>
      <c r="I512" s="64">
        <f t="shared" si="35"/>
        <v>0</v>
      </c>
      <c r="J512" s="64" t="e">
        <f t="shared" si="36"/>
        <v>#DIV/0!</v>
      </c>
      <c r="K512" s="64" t="e">
        <f t="shared" si="41"/>
        <v>#DIV/0!</v>
      </c>
      <c r="L512" s="64">
        <f t="shared" si="37"/>
        <v>0</v>
      </c>
      <c r="M512" s="64" t="e">
        <f t="shared" si="38"/>
        <v>#DIV/0!</v>
      </c>
    </row>
    <row r="513" spans="1:13" ht="63" customHeight="1" hidden="1">
      <c r="A513" s="114"/>
      <c r="B513" s="114"/>
      <c r="C513" s="18" t="s">
        <v>75</v>
      </c>
      <c r="D513" s="65" t="s">
        <v>76</v>
      </c>
      <c r="E513" s="39">
        <f t="shared" si="42"/>
        <v>0</v>
      </c>
      <c r="F513" s="39">
        <f t="shared" si="42"/>
        <v>30</v>
      </c>
      <c r="G513" s="39">
        <f t="shared" si="42"/>
        <v>0</v>
      </c>
      <c r="H513" s="39">
        <f t="shared" si="42"/>
        <v>0</v>
      </c>
      <c r="I513" s="64">
        <f t="shared" si="35"/>
        <v>0</v>
      </c>
      <c r="J513" s="64" t="e">
        <f t="shared" si="36"/>
        <v>#DIV/0!</v>
      </c>
      <c r="K513" s="64">
        <f t="shared" si="41"/>
        <v>0</v>
      </c>
      <c r="L513" s="64">
        <f t="shared" si="37"/>
        <v>0</v>
      </c>
      <c r="M513" s="64" t="e">
        <f t="shared" si="38"/>
        <v>#DIV/0!</v>
      </c>
    </row>
    <row r="514" spans="1:13" ht="47.25" customHeight="1" hidden="1">
      <c r="A514" s="114"/>
      <c r="B514" s="114"/>
      <c r="C514" s="16" t="s">
        <v>39</v>
      </c>
      <c r="D514" s="21" t="s">
        <v>40</v>
      </c>
      <c r="E514" s="39">
        <f t="shared" si="42"/>
        <v>1651.7</v>
      </c>
      <c r="F514" s="39">
        <f t="shared" si="42"/>
        <v>35577.6</v>
      </c>
      <c r="G514" s="39">
        <f t="shared" si="42"/>
        <v>1591</v>
      </c>
      <c r="H514" s="39">
        <f t="shared" si="42"/>
        <v>2621</v>
      </c>
      <c r="I514" s="64">
        <f t="shared" si="35"/>
        <v>1030</v>
      </c>
      <c r="J514" s="64">
        <f t="shared" si="36"/>
        <v>164.73915776241356</v>
      </c>
      <c r="K514" s="64">
        <f t="shared" si="41"/>
        <v>7.366994963122863</v>
      </c>
      <c r="L514" s="64">
        <f t="shared" si="37"/>
        <v>969.3</v>
      </c>
      <c r="M514" s="64">
        <f t="shared" si="38"/>
        <v>158.68499122116606</v>
      </c>
    </row>
    <row r="515" spans="1:13" ht="15.75">
      <c r="A515" s="114"/>
      <c r="B515" s="114"/>
      <c r="C515" s="18" t="s">
        <v>41</v>
      </c>
      <c r="D515" s="20" t="s">
        <v>42</v>
      </c>
      <c r="E515" s="39">
        <f t="shared" si="42"/>
        <v>1923.1000000000004</v>
      </c>
      <c r="F515" s="39">
        <f t="shared" si="42"/>
        <v>0</v>
      </c>
      <c r="G515" s="39">
        <f t="shared" si="42"/>
        <v>0</v>
      </c>
      <c r="H515" s="39">
        <f t="shared" si="42"/>
        <v>-2157.67</v>
      </c>
      <c r="I515" s="64">
        <f t="shared" si="35"/>
        <v>-2157.67</v>
      </c>
      <c r="J515" s="64"/>
      <c r="K515" s="64"/>
      <c r="L515" s="64">
        <f t="shared" si="37"/>
        <v>-4080.7700000000004</v>
      </c>
      <c r="M515" s="64">
        <f t="shared" si="38"/>
        <v>-112.19749363007642</v>
      </c>
    </row>
    <row r="516" spans="1:13" ht="15.75">
      <c r="A516" s="114"/>
      <c r="B516" s="114"/>
      <c r="C516" s="18" t="s">
        <v>43</v>
      </c>
      <c r="D516" s="20" t="s">
        <v>181</v>
      </c>
      <c r="E516" s="39">
        <f t="shared" si="42"/>
        <v>7846.400000000001</v>
      </c>
      <c r="F516" s="39">
        <f t="shared" si="42"/>
        <v>145247.8</v>
      </c>
      <c r="G516" s="39">
        <f t="shared" si="42"/>
        <v>11808.9</v>
      </c>
      <c r="H516" s="39">
        <f t="shared" si="42"/>
        <v>1511.57</v>
      </c>
      <c r="I516" s="64">
        <f t="shared" si="35"/>
        <v>-10297.33</v>
      </c>
      <c r="J516" s="64">
        <f t="shared" si="36"/>
        <v>12.800260820228809</v>
      </c>
      <c r="K516" s="64">
        <f t="shared" si="41"/>
        <v>1.0406835766187166</v>
      </c>
      <c r="L516" s="64">
        <f t="shared" si="37"/>
        <v>-6334.830000000001</v>
      </c>
      <c r="M516" s="64">
        <f t="shared" si="38"/>
        <v>19.26450346655791</v>
      </c>
    </row>
    <row r="517" spans="1:13" ht="31.5" customHeight="1" hidden="1">
      <c r="A517" s="114"/>
      <c r="B517" s="114"/>
      <c r="C517" s="18" t="s">
        <v>64</v>
      </c>
      <c r="D517" s="20" t="s">
        <v>65</v>
      </c>
      <c r="E517" s="39">
        <f t="shared" si="42"/>
        <v>0</v>
      </c>
      <c r="F517" s="39">
        <f t="shared" si="42"/>
        <v>0</v>
      </c>
      <c r="G517" s="39">
        <f t="shared" si="42"/>
        <v>0</v>
      </c>
      <c r="H517" s="39">
        <f t="shared" si="42"/>
        <v>0</v>
      </c>
      <c r="I517" s="64">
        <f t="shared" si="35"/>
        <v>0</v>
      </c>
      <c r="J517" s="64" t="e">
        <f t="shared" si="36"/>
        <v>#DIV/0!</v>
      </c>
      <c r="K517" s="64" t="e">
        <f t="shared" si="41"/>
        <v>#DIV/0!</v>
      </c>
      <c r="L517" s="64">
        <f t="shared" si="37"/>
        <v>0</v>
      </c>
      <c r="M517" s="64" t="e">
        <f t="shared" si="38"/>
        <v>#DIV/0!</v>
      </c>
    </row>
    <row r="518" spans="1:13" ht="15.75" customHeight="1" hidden="1">
      <c r="A518" s="114"/>
      <c r="B518" s="114"/>
      <c r="C518" s="18" t="s">
        <v>45</v>
      </c>
      <c r="D518" s="20" t="s">
        <v>46</v>
      </c>
      <c r="E518" s="39"/>
      <c r="F518" s="39">
        <f>SUMIF($C$5:$C$456,$C518,F$5:F$456)</f>
        <v>0</v>
      </c>
      <c r="G518" s="39">
        <f>SUMIF($C$5:$C$456,$C518,G$5:G$456)</f>
        <v>0</v>
      </c>
      <c r="H518" s="39">
        <f>SUMIF($C$5:$C$456,$C518,H$5:H$456)</f>
        <v>0</v>
      </c>
      <c r="I518" s="64">
        <f t="shared" si="35"/>
        <v>0</v>
      </c>
      <c r="J518" s="64"/>
      <c r="K518" s="64"/>
      <c r="L518" s="64">
        <f>H518-E518</f>
        <v>0</v>
      </c>
      <c r="M518" s="64"/>
    </row>
    <row r="519" spans="1:13" s="28" customFormat="1" ht="33" customHeight="1">
      <c r="A519" s="114"/>
      <c r="B519" s="114"/>
      <c r="C519" s="36"/>
      <c r="D519" s="26" t="s">
        <v>202</v>
      </c>
      <c r="E519" s="40">
        <f>E466+E480</f>
        <v>862533.7</v>
      </c>
      <c r="F519" s="40">
        <f>F466+F480</f>
        <v>17414833.8</v>
      </c>
      <c r="G519" s="40">
        <f>G466+G480</f>
        <v>947840.6200000001</v>
      </c>
      <c r="H519" s="40">
        <f>H466+H480</f>
        <v>982864.52</v>
      </c>
      <c r="I519" s="63">
        <f t="shared" si="35"/>
        <v>35023.89999999991</v>
      </c>
      <c r="J519" s="63">
        <f t="shared" si="36"/>
        <v>103.69512545263146</v>
      </c>
      <c r="K519" s="63">
        <f aca="true" t="shared" si="43" ref="K519:K530">H519/F519*100</f>
        <v>5.64383519985129</v>
      </c>
      <c r="L519" s="63">
        <f t="shared" si="37"/>
        <v>120330.82000000007</v>
      </c>
      <c r="M519" s="63">
        <f>H519/E519*100</f>
        <v>113.95085432603969</v>
      </c>
    </row>
    <row r="520" spans="1:13" s="28" customFormat="1" ht="33" customHeight="1">
      <c r="A520" s="114"/>
      <c r="B520" s="114"/>
      <c r="C520" s="36"/>
      <c r="D520" s="101" t="s">
        <v>234</v>
      </c>
      <c r="E520" s="102">
        <f>E521-E528</f>
        <v>158428.7</v>
      </c>
      <c r="F520" s="102">
        <f>F521-F528</f>
        <v>3847683.446</v>
      </c>
      <c r="G520" s="102">
        <f>G521-G528</f>
        <v>511252.68000000005</v>
      </c>
      <c r="H520" s="102">
        <f>H521-H528</f>
        <v>321147.45000000007</v>
      </c>
      <c r="I520" s="102">
        <f>I521-I528</f>
        <v>-190105.22999999998</v>
      </c>
      <c r="J520" s="103">
        <f t="shared" si="36"/>
        <v>62.81579785557311</v>
      </c>
      <c r="K520" s="103">
        <f t="shared" si="43"/>
        <v>8.346514324972878</v>
      </c>
      <c r="L520" s="103">
        <f>H520-E520</f>
        <v>162718.75000000006</v>
      </c>
      <c r="M520" s="103">
        <f>H520/E520*100</f>
        <v>202.70787426773057</v>
      </c>
    </row>
    <row r="521" spans="1:13" s="28" customFormat="1" ht="33" customHeight="1">
      <c r="A521" s="114"/>
      <c r="B521" s="114"/>
      <c r="C521" s="36" t="s">
        <v>221</v>
      </c>
      <c r="D521" s="98" t="s">
        <v>233</v>
      </c>
      <c r="E521" s="99">
        <f>SUM(E522:E528)</f>
        <v>-139309.5</v>
      </c>
      <c r="F521" s="99">
        <f>SUM(F522:F528)</f>
        <v>3847683.446</v>
      </c>
      <c r="G521" s="99">
        <f>SUM(G522:G528)</f>
        <v>511252.68000000005</v>
      </c>
      <c r="H521" s="99">
        <f>SUM(H522:H528)</f>
        <v>73186.22000000009</v>
      </c>
      <c r="I521" s="100">
        <f t="shared" si="35"/>
        <v>-438066.45999999996</v>
      </c>
      <c r="J521" s="100">
        <f>H521/G521*100</f>
        <v>14.315078015825772</v>
      </c>
      <c r="K521" s="100">
        <f>H521/F521*100</f>
        <v>1.9020852683731948</v>
      </c>
      <c r="L521" s="100">
        <f>H521-E521</f>
        <v>212495.7200000001</v>
      </c>
      <c r="M521" s="100">
        <f>H521/E521*100</f>
        <v>-52.53498146214012</v>
      </c>
    </row>
    <row r="522" spans="1:13" ht="31.5" customHeight="1" hidden="1">
      <c r="A522" s="114"/>
      <c r="B522" s="114"/>
      <c r="C522" s="18" t="s">
        <v>66</v>
      </c>
      <c r="D522" s="20" t="s">
        <v>67</v>
      </c>
      <c r="E522" s="39">
        <f aca="true" t="shared" si="44" ref="E522:H527">SUMIF($C$5:$C$447,$C522,E$5:E$447)</f>
        <v>0</v>
      </c>
      <c r="F522" s="39">
        <f t="shared" si="44"/>
        <v>0</v>
      </c>
      <c r="G522" s="39">
        <f t="shared" si="44"/>
        <v>0</v>
      </c>
      <c r="H522" s="39">
        <f t="shared" si="44"/>
        <v>0</v>
      </c>
      <c r="I522" s="64">
        <f t="shared" si="35"/>
        <v>0</v>
      </c>
      <c r="J522" s="63" t="e">
        <f t="shared" si="36"/>
        <v>#DIV/0!</v>
      </c>
      <c r="K522" s="64"/>
      <c r="L522" s="64">
        <f t="shared" si="37"/>
        <v>0</v>
      </c>
      <c r="M522" s="64" t="e">
        <f t="shared" si="38"/>
        <v>#DIV/0!</v>
      </c>
    </row>
    <row r="523" spans="1:13" ht="17.25" customHeight="1">
      <c r="A523" s="114"/>
      <c r="B523" s="114"/>
      <c r="C523" s="18" t="s">
        <v>47</v>
      </c>
      <c r="D523" s="20" t="s">
        <v>223</v>
      </c>
      <c r="E523" s="39">
        <f t="shared" si="44"/>
        <v>0</v>
      </c>
      <c r="F523" s="39">
        <f t="shared" si="44"/>
        <v>1226195.97</v>
      </c>
      <c r="G523" s="39">
        <f t="shared" si="44"/>
        <v>0</v>
      </c>
      <c r="H523" s="39">
        <f t="shared" si="44"/>
        <v>0</v>
      </c>
      <c r="I523" s="64">
        <f t="shared" si="35"/>
        <v>0</v>
      </c>
      <c r="J523" s="64"/>
      <c r="K523" s="64">
        <f t="shared" si="43"/>
        <v>0</v>
      </c>
      <c r="L523" s="64">
        <f t="shared" si="37"/>
        <v>0</v>
      </c>
      <c r="M523" s="64"/>
    </row>
    <row r="524" spans="1:13" ht="16.5" customHeight="1">
      <c r="A524" s="114"/>
      <c r="B524" s="114"/>
      <c r="C524" s="18" t="s">
        <v>49</v>
      </c>
      <c r="D524" s="20" t="s">
        <v>101</v>
      </c>
      <c r="E524" s="39">
        <f t="shared" si="44"/>
        <v>146446.80000000002</v>
      </c>
      <c r="F524" s="39">
        <f t="shared" si="44"/>
        <v>2423723.0760000004</v>
      </c>
      <c r="G524" s="39">
        <f t="shared" si="44"/>
        <v>511252.68000000005</v>
      </c>
      <c r="H524" s="39">
        <f t="shared" si="44"/>
        <v>309165.55000000005</v>
      </c>
      <c r="I524" s="64">
        <f t="shared" si="35"/>
        <v>-202087.13</v>
      </c>
      <c r="J524" s="64">
        <f t="shared" si="36"/>
        <v>60.47216221927678</v>
      </c>
      <c r="K524" s="64">
        <f t="shared" si="43"/>
        <v>12.755811629694612</v>
      </c>
      <c r="L524" s="64">
        <f t="shared" si="37"/>
        <v>162718.75000000003</v>
      </c>
      <c r="M524" s="64">
        <f>H524/E524*100</f>
        <v>211.11116801459642</v>
      </c>
    </row>
    <row r="525" spans="1:13" ht="17.25" customHeight="1">
      <c r="A525" s="114"/>
      <c r="B525" s="114"/>
      <c r="C525" s="18" t="s">
        <v>69</v>
      </c>
      <c r="D525" s="21" t="s">
        <v>70</v>
      </c>
      <c r="E525" s="39">
        <f t="shared" si="44"/>
        <v>11981.9</v>
      </c>
      <c r="F525" s="39">
        <f t="shared" si="44"/>
        <v>197764.4</v>
      </c>
      <c r="G525" s="39">
        <f t="shared" si="44"/>
        <v>0</v>
      </c>
      <c r="H525" s="39">
        <f t="shared" si="44"/>
        <v>11981.9</v>
      </c>
      <c r="I525" s="64">
        <f t="shared" si="35"/>
        <v>11981.9</v>
      </c>
      <c r="J525" s="64"/>
      <c r="K525" s="64">
        <f t="shared" si="43"/>
        <v>6.058673856366465</v>
      </c>
      <c r="L525" s="64">
        <f t="shared" si="37"/>
        <v>0</v>
      </c>
      <c r="M525" s="64">
        <f t="shared" si="38"/>
        <v>100</v>
      </c>
    </row>
    <row r="526" spans="1:13" ht="31.5" customHeight="1" hidden="1">
      <c r="A526" s="114"/>
      <c r="B526" s="114"/>
      <c r="C526" s="18" t="s">
        <v>224</v>
      </c>
      <c r="D526" s="19" t="s">
        <v>225</v>
      </c>
      <c r="E526" s="39">
        <f t="shared" si="44"/>
        <v>0</v>
      </c>
      <c r="F526" s="39">
        <f t="shared" si="44"/>
        <v>0</v>
      </c>
      <c r="G526" s="39">
        <f t="shared" si="44"/>
        <v>0</v>
      </c>
      <c r="H526" s="39">
        <f t="shared" si="44"/>
        <v>0</v>
      </c>
      <c r="I526" s="64">
        <f t="shared" si="35"/>
        <v>0</v>
      </c>
      <c r="J526" s="64" t="e">
        <f t="shared" si="36"/>
        <v>#DIV/0!</v>
      </c>
      <c r="K526" s="64"/>
      <c r="L526" s="64">
        <f t="shared" si="37"/>
        <v>0</v>
      </c>
      <c r="M526" s="64" t="e">
        <f t="shared" si="38"/>
        <v>#DIV/0!</v>
      </c>
    </row>
    <row r="527" spans="1:13" ht="17.25" customHeight="1">
      <c r="A527" s="114"/>
      <c r="B527" s="114"/>
      <c r="C527" s="18" t="s">
        <v>80</v>
      </c>
      <c r="D527" s="20" t="s">
        <v>81</v>
      </c>
      <c r="E527" s="39">
        <f t="shared" si="44"/>
        <v>0</v>
      </c>
      <c r="F527" s="39">
        <f t="shared" si="44"/>
        <v>0</v>
      </c>
      <c r="G527" s="39">
        <f t="shared" si="44"/>
        <v>0</v>
      </c>
      <c r="H527" s="39">
        <f t="shared" si="44"/>
        <v>0</v>
      </c>
      <c r="I527" s="64">
        <f t="shared" si="35"/>
        <v>0</v>
      </c>
      <c r="J527" s="64"/>
      <c r="K527" s="64"/>
      <c r="L527" s="64">
        <f t="shared" si="37"/>
        <v>0</v>
      </c>
      <c r="M527" s="64"/>
    </row>
    <row r="528" spans="1:13" ht="17.25" customHeight="1">
      <c r="A528" s="114"/>
      <c r="B528" s="114"/>
      <c r="C528" s="18" t="s">
        <v>51</v>
      </c>
      <c r="D528" s="20" t="s">
        <v>46</v>
      </c>
      <c r="E528" s="39">
        <f>SUMIF($C$5:$C$447,$C528,E$5:E$447)</f>
        <v>-297738.2</v>
      </c>
      <c r="F528" s="39"/>
      <c r="G528" s="39"/>
      <c r="H528" s="39">
        <f>SUMIF($C$5:$C$447,$C528,H$5:H$447)</f>
        <v>-247961.22999999998</v>
      </c>
      <c r="I528" s="64">
        <f t="shared" si="35"/>
        <v>-247961.22999999998</v>
      </c>
      <c r="J528" s="64"/>
      <c r="K528" s="64"/>
      <c r="L528" s="64">
        <f t="shared" si="37"/>
        <v>49776.97000000003</v>
      </c>
      <c r="M528" s="64">
        <f t="shared" si="38"/>
        <v>83.28163131234083</v>
      </c>
    </row>
    <row r="529" spans="1:13" s="28" customFormat="1" ht="47.25" customHeight="1">
      <c r="A529" s="114"/>
      <c r="B529" s="114"/>
      <c r="C529" s="150" t="s">
        <v>232</v>
      </c>
      <c r="D529" s="150"/>
      <c r="E529" s="104">
        <f>E530-E528</f>
        <v>1020962.3999999999</v>
      </c>
      <c r="F529" s="104">
        <f>F530-F528</f>
        <v>21262517.246</v>
      </c>
      <c r="G529" s="104">
        <f>G530-G528</f>
        <v>1459093.3000000003</v>
      </c>
      <c r="H529" s="104">
        <f>H530-H528</f>
        <v>1304011.9700000002</v>
      </c>
      <c r="I529" s="105">
        <f>H529-G529</f>
        <v>-155081.33000000007</v>
      </c>
      <c r="J529" s="105">
        <f>H529/G529*100</f>
        <v>89.37139043815772</v>
      </c>
      <c r="K529" s="105">
        <f>H529/F529*100</f>
        <v>6.13291434364535</v>
      </c>
      <c r="L529" s="105">
        <f>H529-E529</f>
        <v>283049.5700000003</v>
      </c>
      <c r="M529" s="105">
        <f>H529/E529*100</f>
        <v>127.72379962278733</v>
      </c>
    </row>
    <row r="530" spans="1:13" s="28" customFormat="1" ht="47.25" customHeight="1">
      <c r="A530" s="114"/>
      <c r="B530" s="114"/>
      <c r="C530" s="151" t="s">
        <v>235</v>
      </c>
      <c r="D530" s="151"/>
      <c r="E530" s="106">
        <f>E519+E521</f>
        <v>723224.2</v>
      </c>
      <c r="F530" s="106">
        <f>F519+F521</f>
        <v>21262517.246</v>
      </c>
      <c r="G530" s="106">
        <f>G519+G521</f>
        <v>1459093.3000000003</v>
      </c>
      <c r="H530" s="106">
        <f>H519+H521</f>
        <v>1056050.7400000002</v>
      </c>
      <c r="I530" s="107">
        <f>H530-G530</f>
        <v>-403042.56000000006</v>
      </c>
      <c r="J530" s="107">
        <f>H530/G530*100</f>
        <v>72.37719068410499</v>
      </c>
      <c r="K530" s="107">
        <f t="shared" si="43"/>
        <v>4.966724907412687</v>
      </c>
      <c r="L530" s="107">
        <f t="shared" si="37"/>
        <v>332826.54000000027</v>
      </c>
      <c r="M530" s="107">
        <f t="shared" si="38"/>
        <v>146.0198289824926</v>
      </c>
    </row>
    <row r="531" spans="1:13" s="28" customFormat="1" ht="51" customHeight="1" hidden="1">
      <c r="A531" s="66"/>
      <c r="B531" s="66"/>
      <c r="C531" s="36"/>
      <c r="D531" s="26" t="s">
        <v>205</v>
      </c>
      <c r="E531" s="56">
        <f>E532</f>
        <v>0</v>
      </c>
      <c r="F531" s="56">
        <f>F532</f>
        <v>0</v>
      </c>
      <c r="G531" s="56">
        <f>G532</f>
        <v>0</v>
      </c>
      <c r="H531" s="56">
        <f>H532</f>
        <v>0</v>
      </c>
      <c r="I531" s="63">
        <f t="shared" si="35"/>
        <v>0</v>
      </c>
      <c r="J531" s="63"/>
      <c r="K531" s="63"/>
      <c r="L531" s="63">
        <f t="shared" si="37"/>
        <v>0</v>
      </c>
      <c r="M531" s="63"/>
    </row>
    <row r="532" spans="1:13" ht="31.5" customHeight="1" hidden="1">
      <c r="A532" s="42"/>
      <c r="B532" s="42"/>
      <c r="C532" s="16" t="s">
        <v>206</v>
      </c>
      <c r="D532" s="21" t="s">
        <v>207</v>
      </c>
      <c r="E532" s="39">
        <f>SUMIF($C$5:$C$456,$C532,E$5:E$456)</f>
        <v>0</v>
      </c>
      <c r="F532" s="49">
        <f>F456</f>
        <v>0</v>
      </c>
      <c r="G532" s="49">
        <f>G456</f>
        <v>0</v>
      </c>
      <c r="H532" s="39">
        <f>SUMIF($C$5:$C$456,$C532,H$5:H$456)</f>
        <v>0</v>
      </c>
      <c r="I532" s="63">
        <f t="shared" si="35"/>
        <v>0</v>
      </c>
      <c r="J532" s="63"/>
      <c r="K532" s="64"/>
      <c r="L532" s="63">
        <f>H532-E532</f>
        <v>0</v>
      </c>
      <c r="M532" s="63"/>
    </row>
    <row r="533" spans="1:11" ht="15.75" hidden="1">
      <c r="A533" s="57"/>
      <c r="B533" s="57"/>
      <c r="C533" s="58"/>
      <c r="D533" s="6"/>
      <c r="E533" s="67"/>
      <c r="F533" s="67"/>
      <c r="G533" s="67"/>
      <c r="H533" s="59"/>
      <c r="I533" s="68"/>
      <c r="J533" s="9"/>
      <c r="K533" s="9"/>
    </row>
    <row r="534" spans="1:11" ht="15.75">
      <c r="A534" s="57"/>
      <c r="B534" s="57"/>
      <c r="C534" s="58"/>
      <c r="D534" s="6"/>
      <c r="E534" s="67"/>
      <c r="F534" s="67"/>
      <c r="G534" s="67"/>
      <c r="H534" s="59"/>
      <c r="I534" s="68"/>
      <c r="J534" s="9"/>
      <c r="K534" s="9"/>
    </row>
    <row r="535" spans="1:11" ht="15.75">
      <c r="A535" s="57"/>
      <c r="B535" s="57"/>
      <c r="C535" s="58"/>
      <c r="D535" s="6"/>
      <c r="E535" s="67"/>
      <c r="F535" s="67"/>
      <c r="G535" s="67"/>
      <c r="H535" s="59"/>
      <c r="I535" s="68"/>
      <c r="J535" s="9"/>
      <c r="K535" s="9"/>
    </row>
    <row r="536" spans="1:9" ht="15.75">
      <c r="A536" s="69"/>
      <c r="B536" s="70"/>
      <c r="C536" s="71"/>
      <c r="D536" s="72"/>
      <c r="E536" s="73"/>
      <c r="F536" s="73"/>
      <c r="G536" s="73"/>
      <c r="H536" s="73"/>
      <c r="I536" s="74"/>
    </row>
    <row r="537" spans="1:9" ht="15.75">
      <c r="A537" s="69"/>
      <c r="B537" s="70"/>
      <c r="C537" s="71"/>
      <c r="D537" s="72"/>
      <c r="E537" s="73"/>
      <c r="F537" s="73"/>
      <c r="G537" s="73"/>
      <c r="H537" s="73"/>
      <c r="I537" s="74"/>
    </row>
    <row r="538" spans="1:9" ht="15.75">
      <c r="A538" s="69"/>
      <c r="B538" s="70"/>
      <c r="C538" s="71"/>
      <c r="D538" s="72"/>
      <c r="E538" s="73"/>
      <c r="F538" s="73"/>
      <c r="G538" s="73"/>
      <c r="H538" s="73"/>
      <c r="I538" s="74"/>
    </row>
    <row r="539" spans="1:9" ht="15.75">
      <c r="A539" s="69"/>
      <c r="B539" s="70"/>
      <c r="C539" s="71"/>
      <c r="D539" s="72"/>
      <c r="E539" s="73"/>
      <c r="F539" s="73"/>
      <c r="G539" s="73"/>
      <c r="H539" s="73"/>
      <c r="I539" s="74"/>
    </row>
    <row r="540" spans="1:9" ht="15.75">
      <c r="A540" s="69"/>
      <c r="B540" s="70"/>
      <c r="C540" s="71"/>
      <c r="D540" s="72"/>
      <c r="E540" s="73"/>
      <c r="F540" s="73"/>
      <c r="G540" s="73"/>
      <c r="H540" s="73"/>
      <c r="I540" s="74"/>
    </row>
    <row r="541" spans="1:8" ht="15.75">
      <c r="A541" s="75"/>
      <c r="B541" s="70"/>
      <c r="C541" s="71"/>
      <c r="D541" s="72"/>
      <c r="E541" s="73"/>
      <c r="F541" s="73"/>
      <c r="G541" s="73"/>
      <c r="H541" s="73"/>
    </row>
    <row r="542" spans="1:8" ht="15.75">
      <c r="A542" s="75"/>
      <c r="B542" s="70"/>
      <c r="C542" s="71"/>
      <c r="D542" s="72"/>
      <c r="E542" s="73"/>
      <c r="F542" s="73"/>
      <c r="G542" s="73"/>
      <c r="H542" s="73"/>
    </row>
    <row r="543" spans="1:8" ht="15.75">
      <c r="A543" s="75"/>
      <c r="B543" s="70"/>
      <c r="C543" s="71"/>
      <c r="D543" s="72"/>
      <c r="E543" s="73"/>
      <c r="F543" s="73"/>
      <c r="G543" s="73"/>
      <c r="H543" s="73"/>
    </row>
    <row r="544" spans="1:8" ht="15.75">
      <c r="A544" s="75"/>
      <c r="B544" s="70"/>
      <c r="C544" s="71"/>
      <c r="D544" s="72"/>
      <c r="E544" s="73"/>
      <c r="F544" s="73"/>
      <c r="G544" s="73"/>
      <c r="H544" s="73"/>
    </row>
    <row r="545" spans="1:8" ht="15.75">
      <c r="A545" s="75"/>
      <c r="B545" s="70"/>
      <c r="C545" s="71"/>
      <c r="D545" s="72"/>
      <c r="E545" s="73"/>
      <c r="F545" s="73"/>
      <c r="G545" s="73"/>
      <c r="H545" s="73"/>
    </row>
    <row r="546" spans="1:8" ht="15.75">
      <c r="A546" s="75"/>
      <c r="B546" s="70"/>
      <c r="C546" s="71"/>
      <c r="D546" s="72"/>
      <c r="E546" s="73"/>
      <c r="F546" s="73"/>
      <c r="G546" s="73"/>
      <c r="H546" s="73"/>
    </row>
    <row r="547" spans="1:8" ht="15.75">
      <c r="A547" s="75"/>
      <c r="B547" s="70"/>
      <c r="C547" s="71"/>
      <c r="D547" s="72"/>
      <c r="E547" s="73"/>
      <c r="F547" s="73"/>
      <c r="G547" s="73"/>
      <c r="H547" s="73"/>
    </row>
    <row r="548" spans="1:8" ht="15.75">
      <c r="A548" s="75"/>
      <c r="B548" s="70"/>
      <c r="C548" s="71"/>
      <c r="D548" s="72"/>
      <c r="E548" s="73"/>
      <c r="F548" s="73"/>
      <c r="G548" s="73"/>
      <c r="H548" s="73"/>
    </row>
    <row r="549" spans="1:8" ht="15.75">
      <c r="A549" s="75"/>
      <c r="B549" s="70"/>
      <c r="C549" s="71"/>
      <c r="D549" s="72"/>
      <c r="E549" s="73"/>
      <c r="F549" s="73"/>
      <c r="G549" s="73"/>
      <c r="H549" s="73"/>
    </row>
    <row r="550" spans="1:8" ht="15.75">
      <c r="A550" s="75"/>
      <c r="B550" s="70"/>
      <c r="C550" s="71"/>
      <c r="D550" s="72"/>
      <c r="E550" s="73"/>
      <c r="F550" s="73"/>
      <c r="G550" s="73"/>
      <c r="H550" s="73"/>
    </row>
    <row r="551" spans="1:8" ht="15.75">
      <c r="A551" s="75"/>
      <c r="B551" s="70"/>
      <c r="C551" s="71"/>
      <c r="D551" s="72"/>
      <c r="E551" s="73"/>
      <c r="F551" s="73"/>
      <c r="G551" s="73"/>
      <c r="H551" s="73"/>
    </row>
    <row r="552" spans="1:8" ht="15.75">
      <c r="A552" s="75"/>
      <c r="B552" s="70"/>
      <c r="C552" s="71"/>
      <c r="D552" s="72"/>
      <c r="E552" s="73"/>
      <c r="F552" s="73"/>
      <c r="G552" s="73"/>
      <c r="H552" s="73"/>
    </row>
    <row r="553" spans="1:8" ht="15.75">
      <c r="A553" s="75"/>
      <c r="B553" s="70"/>
      <c r="C553" s="71"/>
      <c r="D553" s="72"/>
      <c r="E553" s="73"/>
      <c r="F553" s="73"/>
      <c r="G553" s="73"/>
      <c r="H553" s="73"/>
    </row>
    <row r="554" spans="1:8" ht="15.75">
      <c r="A554" s="75"/>
      <c r="B554" s="70"/>
      <c r="C554" s="71"/>
      <c r="D554" s="72"/>
      <c r="E554" s="73"/>
      <c r="F554" s="73"/>
      <c r="G554" s="73"/>
      <c r="H554" s="73"/>
    </row>
    <row r="555" spans="1:8" ht="15.75">
      <c r="A555" s="75"/>
      <c r="B555" s="70"/>
      <c r="C555" s="71"/>
      <c r="D555" s="72"/>
      <c r="E555" s="73"/>
      <c r="F555" s="73"/>
      <c r="G555" s="73"/>
      <c r="H555" s="73"/>
    </row>
    <row r="556" spans="1:8" ht="15.75">
      <c r="A556" s="75"/>
      <c r="B556" s="70"/>
      <c r="C556" s="71"/>
      <c r="D556" s="72"/>
      <c r="E556" s="73"/>
      <c r="F556" s="73"/>
      <c r="G556" s="73"/>
      <c r="H556" s="73"/>
    </row>
    <row r="557" spans="1:8" ht="15.75">
      <c r="A557" s="75"/>
      <c r="B557" s="70"/>
      <c r="C557" s="71"/>
      <c r="D557" s="72"/>
      <c r="E557" s="73"/>
      <c r="F557" s="73"/>
      <c r="G557" s="73"/>
      <c r="H557" s="73"/>
    </row>
    <row r="558" spans="1:8" ht="15.75">
      <c r="A558" s="75"/>
      <c r="B558" s="70"/>
      <c r="C558" s="71"/>
      <c r="D558" s="72"/>
      <c r="E558" s="73"/>
      <c r="F558" s="73"/>
      <c r="G558" s="73"/>
      <c r="H558" s="73"/>
    </row>
    <row r="559" spans="1:8" ht="15.75">
      <c r="A559" s="75"/>
      <c r="B559" s="70"/>
      <c r="C559" s="71"/>
      <c r="D559" s="72"/>
      <c r="E559" s="73"/>
      <c r="F559" s="73"/>
      <c r="G559" s="73"/>
      <c r="H559" s="73"/>
    </row>
    <row r="560" spans="1:8" ht="15.75">
      <c r="A560" s="75"/>
      <c r="B560" s="70"/>
      <c r="C560" s="71"/>
      <c r="D560" s="72"/>
      <c r="E560" s="73"/>
      <c r="F560" s="73"/>
      <c r="G560" s="73"/>
      <c r="H560" s="73"/>
    </row>
    <row r="561" spans="1:8" ht="15.75">
      <c r="A561" s="75"/>
      <c r="B561" s="70"/>
      <c r="C561" s="71"/>
      <c r="D561" s="72"/>
      <c r="E561" s="73"/>
      <c r="F561" s="73"/>
      <c r="G561" s="73"/>
      <c r="H561" s="73"/>
    </row>
    <row r="562" spans="1:8" ht="15.75">
      <c r="A562" s="75"/>
      <c r="B562" s="70"/>
      <c r="C562" s="71"/>
      <c r="D562" s="72"/>
      <c r="E562" s="73"/>
      <c r="F562" s="73"/>
      <c r="G562" s="73"/>
      <c r="H562" s="73"/>
    </row>
    <row r="563" spans="1:8" ht="15.75">
      <c r="A563" s="75"/>
      <c r="B563" s="70"/>
      <c r="C563" s="71"/>
      <c r="D563" s="72"/>
      <c r="E563" s="73"/>
      <c r="F563" s="73"/>
      <c r="G563" s="73"/>
      <c r="H563" s="73"/>
    </row>
    <row r="564" spans="1:8" ht="15.75">
      <c r="A564" s="75"/>
      <c r="B564" s="70"/>
      <c r="C564" s="71"/>
      <c r="D564" s="72"/>
      <c r="E564" s="73"/>
      <c r="F564" s="73"/>
      <c r="G564" s="73"/>
      <c r="H564" s="73"/>
    </row>
    <row r="565" spans="2:8" ht="15.75">
      <c r="B565" s="76"/>
      <c r="C565" s="71"/>
      <c r="D565" s="72"/>
      <c r="E565" s="73"/>
      <c r="F565" s="73"/>
      <c r="G565" s="73"/>
      <c r="H565" s="73"/>
    </row>
    <row r="566" spans="2:8" ht="15.75">
      <c r="B566" s="76"/>
      <c r="C566" s="71"/>
      <c r="D566" s="72"/>
      <c r="E566" s="73"/>
      <c r="F566" s="73"/>
      <c r="G566" s="73"/>
      <c r="H566" s="73"/>
    </row>
    <row r="567" spans="2:8" ht="15.75">
      <c r="B567" s="76"/>
      <c r="C567" s="71"/>
      <c r="D567" s="72"/>
      <c r="E567" s="73"/>
      <c r="F567" s="73"/>
      <c r="G567" s="73"/>
      <c r="H567" s="73"/>
    </row>
    <row r="568" spans="2:8" ht="15.75">
      <c r="B568" s="76"/>
      <c r="C568" s="71"/>
      <c r="D568" s="72"/>
      <c r="E568" s="73"/>
      <c r="F568" s="73"/>
      <c r="G568" s="73"/>
      <c r="H568" s="73"/>
    </row>
    <row r="569" spans="2:8" ht="15.75">
      <c r="B569" s="76"/>
      <c r="C569" s="71"/>
      <c r="D569" s="72"/>
      <c r="E569" s="73"/>
      <c r="F569" s="73"/>
      <c r="G569" s="73"/>
      <c r="H569" s="73"/>
    </row>
    <row r="570" spans="2:8" ht="15.75">
      <c r="B570" s="76"/>
      <c r="C570" s="71"/>
      <c r="D570" s="72"/>
      <c r="E570" s="73"/>
      <c r="F570" s="73"/>
      <c r="G570" s="73"/>
      <c r="H570" s="73"/>
    </row>
    <row r="571" spans="2:8" ht="15.75">
      <c r="B571" s="76"/>
      <c r="C571" s="71"/>
      <c r="D571" s="72"/>
      <c r="E571" s="73"/>
      <c r="F571" s="73"/>
      <c r="G571" s="73"/>
      <c r="H571" s="73"/>
    </row>
    <row r="572" spans="2:8" ht="15.75">
      <c r="B572" s="76"/>
      <c r="C572" s="71"/>
      <c r="D572" s="72"/>
      <c r="E572" s="73"/>
      <c r="F572" s="73"/>
      <c r="G572" s="73"/>
      <c r="H572" s="73"/>
    </row>
    <row r="573" spans="2:8" ht="15.75">
      <c r="B573" s="76"/>
      <c r="C573" s="71"/>
      <c r="D573" s="72"/>
      <c r="E573" s="73"/>
      <c r="F573" s="73"/>
      <c r="G573" s="73"/>
      <c r="H573" s="73"/>
    </row>
    <row r="574" spans="2:8" ht="15.75">
      <c r="B574" s="76"/>
      <c r="C574" s="71"/>
      <c r="D574" s="72"/>
      <c r="E574" s="73"/>
      <c r="F574" s="73"/>
      <c r="G574" s="73"/>
      <c r="H574" s="73"/>
    </row>
    <row r="575" spans="2:8" ht="15.75">
      <c r="B575" s="76"/>
      <c r="C575" s="71"/>
      <c r="D575" s="72"/>
      <c r="E575" s="73"/>
      <c r="F575" s="73"/>
      <c r="G575" s="73"/>
      <c r="H575" s="73"/>
    </row>
    <row r="576" spans="2:8" ht="15.75">
      <c r="B576" s="76"/>
      <c r="C576" s="71"/>
      <c r="D576" s="72"/>
      <c r="E576" s="73"/>
      <c r="F576" s="73"/>
      <c r="G576" s="73"/>
      <c r="H576" s="73"/>
    </row>
    <row r="577" spans="2:8" ht="15.75">
      <c r="B577" s="76"/>
      <c r="C577" s="71"/>
      <c r="D577" s="72"/>
      <c r="E577" s="73"/>
      <c r="F577" s="73"/>
      <c r="G577" s="73"/>
      <c r="H577" s="73"/>
    </row>
    <row r="578" spans="2:8" ht="15.75">
      <c r="B578" s="76"/>
      <c r="C578" s="71"/>
      <c r="D578" s="72"/>
      <c r="E578" s="73"/>
      <c r="F578" s="73"/>
      <c r="G578" s="73"/>
      <c r="H578" s="73"/>
    </row>
    <row r="579" spans="2:8" ht="15.75">
      <c r="B579" s="76"/>
      <c r="C579" s="71"/>
      <c r="D579" s="72"/>
      <c r="E579" s="73"/>
      <c r="F579" s="73"/>
      <c r="G579" s="73"/>
      <c r="H579" s="73"/>
    </row>
    <row r="580" spans="2:8" ht="15.75">
      <c r="B580" s="76"/>
      <c r="C580" s="71"/>
      <c r="D580" s="72"/>
      <c r="E580" s="73"/>
      <c r="F580" s="73"/>
      <c r="G580" s="73"/>
      <c r="H580" s="73"/>
    </row>
    <row r="581" spans="2:8" ht="15.75">
      <c r="B581" s="76"/>
      <c r="C581" s="71"/>
      <c r="D581" s="72"/>
      <c r="E581" s="73"/>
      <c r="F581" s="73"/>
      <c r="G581" s="73"/>
      <c r="H581" s="73"/>
    </row>
    <row r="582" spans="2:8" ht="15.75">
      <c r="B582" s="76"/>
      <c r="C582" s="71"/>
      <c r="D582" s="72"/>
      <c r="E582" s="73"/>
      <c r="F582" s="73"/>
      <c r="G582" s="73"/>
      <c r="H582" s="73"/>
    </row>
    <row r="583" spans="2:8" ht="15.75">
      <c r="B583" s="76"/>
      <c r="C583" s="71"/>
      <c r="D583" s="72"/>
      <c r="E583" s="73"/>
      <c r="F583" s="73"/>
      <c r="G583" s="73"/>
      <c r="H583" s="73"/>
    </row>
    <row r="584" spans="2:8" ht="15.75">
      <c r="B584" s="76"/>
      <c r="C584" s="71"/>
      <c r="D584" s="72"/>
      <c r="E584" s="73"/>
      <c r="F584" s="73"/>
      <c r="G584" s="73"/>
      <c r="H584" s="73"/>
    </row>
    <row r="585" spans="2:8" ht="15.75">
      <c r="B585" s="76"/>
      <c r="C585" s="71"/>
      <c r="D585" s="72"/>
      <c r="E585" s="73"/>
      <c r="F585" s="73"/>
      <c r="G585" s="73"/>
      <c r="H585" s="73"/>
    </row>
    <row r="586" spans="2:8" ht="15.75">
      <c r="B586" s="76"/>
      <c r="C586" s="71"/>
      <c r="D586" s="72"/>
      <c r="E586" s="73"/>
      <c r="F586" s="73"/>
      <c r="G586" s="73"/>
      <c r="H586" s="73"/>
    </row>
    <row r="587" spans="2:8" ht="15.75">
      <c r="B587" s="76"/>
      <c r="C587" s="71"/>
      <c r="D587" s="72"/>
      <c r="E587" s="73"/>
      <c r="F587" s="73"/>
      <c r="G587" s="73"/>
      <c r="H587" s="73"/>
    </row>
    <row r="588" spans="2:8" ht="15.75">
      <c r="B588" s="76"/>
      <c r="C588" s="71"/>
      <c r="D588" s="72"/>
      <c r="E588" s="73"/>
      <c r="F588" s="73"/>
      <c r="G588" s="73"/>
      <c r="H588" s="73"/>
    </row>
    <row r="589" spans="2:8" ht="15.75">
      <c r="B589" s="76"/>
      <c r="C589" s="71"/>
      <c r="D589" s="72"/>
      <c r="E589" s="73"/>
      <c r="F589" s="73"/>
      <c r="G589" s="73"/>
      <c r="H589" s="73"/>
    </row>
    <row r="590" spans="2:8" ht="15.75">
      <c r="B590" s="76"/>
      <c r="C590" s="71"/>
      <c r="D590" s="72"/>
      <c r="E590" s="73"/>
      <c r="F590" s="73"/>
      <c r="G590" s="73"/>
      <c r="H590" s="73"/>
    </row>
    <row r="591" spans="2:8" ht="15.75">
      <c r="B591" s="76"/>
      <c r="C591" s="71"/>
      <c r="D591" s="72"/>
      <c r="E591" s="73"/>
      <c r="F591" s="73"/>
      <c r="G591" s="73"/>
      <c r="H591" s="73"/>
    </row>
    <row r="592" spans="2:8" ht="15.75">
      <c r="B592" s="76"/>
      <c r="C592" s="71"/>
      <c r="D592" s="72"/>
      <c r="E592" s="73"/>
      <c r="F592" s="73"/>
      <c r="G592" s="73"/>
      <c r="H592" s="73"/>
    </row>
    <row r="593" spans="2:8" ht="15.75">
      <c r="B593" s="76"/>
      <c r="C593" s="71"/>
      <c r="D593" s="72"/>
      <c r="E593" s="73"/>
      <c r="F593" s="73"/>
      <c r="G593" s="73"/>
      <c r="H593" s="73"/>
    </row>
    <row r="594" spans="2:8" ht="15.75">
      <c r="B594" s="76"/>
      <c r="C594" s="71"/>
      <c r="D594" s="72"/>
      <c r="E594" s="73"/>
      <c r="F594" s="73"/>
      <c r="G594" s="73"/>
      <c r="H594" s="73"/>
    </row>
    <row r="595" spans="2:8" ht="15.75">
      <c r="B595" s="76"/>
      <c r="C595" s="71"/>
      <c r="D595" s="72"/>
      <c r="E595" s="73"/>
      <c r="F595" s="73"/>
      <c r="G595" s="73"/>
      <c r="H595" s="73"/>
    </row>
    <row r="596" spans="2:8" ht="15.75">
      <c r="B596" s="76"/>
      <c r="C596" s="71"/>
      <c r="D596" s="72"/>
      <c r="E596" s="73"/>
      <c r="F596" s="73"/>
      <c r="G596" s="73"/>
      <c r="H596" s="73"/>
    </row>
    <row r="597" spans="2:8" ht="15.75">
      <c r="B597" s="76"/>
      <c r="C597" s="71"/>
      <c r="D597" s="72"/>
      <c r="E597" s="73"/>
      <c r="F597" s="73"/>
      <c r="G597" s="73"/>
      <c r="H597" s="73"/>
    </row>
    <row r="598" spans="2:8" ht="15.75">
      <c r="B598" s="76"/>
      <c r="C598" s="71"/>
      <c r="D598" s="72"/>
      <c r="E598" s="73"/>
      <c r="F598" s="73"/>
      <c r="G598" s="73"/>
      <c r="H598" s="73"/>
    </row>
    <row r="599" spans="2:8" ht="15.75">
      <c r="B599" s="76"/>
      <c r="C599" s="71"/>
      <c r="D599" s="72"/>
      <c r="E599" s="73"/>
      <c r="F599" s="73"/>
      <c r="G599" s="73"/>
      <c r="H599" s="73"/>
    </row>
    <row r="600" spans="2:8" ht="15.75">
      <c r="B600" s="76"/>
      <c r="C600" s="71"/>
      <c r="D600" s="72"/>
      <c r="E600" s="73"/>
      <c r="F600" s="73"/>
      <c r="G600" s="73"/>
      <c r="H600" s="73"/>
    </row>
    <row r="601" spans="2:8" ht="15.75">
      <c r="B601" s="76"/>
      <c r="C601" s="71"/>
      <c r="D601" s="72"/>
      <c r="E601" s="73"/>
      <c r="F601" s="73"/>
      <c r="G601" s="73"/>
      <c r="H601" s="73"/>
    </row>
    <row r="602" spans="2:8" ht="15.75">
      <c r="B602" s="76"/>
      <c r="C602" s="71"/>
      <c r="D602" s="72"/>
      <c r="E602" s="73"/>
      <c r="F602" s="73"/>
      <c r="G602" s="73"/>
      <c r="H602" s="73"/>
    </row>
    <row r="603" spans="2:8" ht="15.75">
      <c r="B603" s="76"/>
      <c r="C603" s="71"/>
      <c r="D603" s="72"/>
      <c r="E603" s="73"/>
      <c r="F603" s="73"/>
      <c r="G603" s="73"/>
      <c r="H603" s="73"/>
    </row>
    <row r="604" spans="2:8" ht="15.75">
      <c r="B604" s="76"/>
      <c r="C604" s="71"/>
      <c r="D604" s="72"/>
      <c r="E604" s="73"/>
      <c r="F604" s="73"/>
      <c r="G604" s="73"/>
      <c r="H604" s="73"/>
    </row>
    <row r="605" spans="2:8" ht="15.75">
      <c r="B605" s="76"/>
      <c r="C605" s="71"/>
      <c r="D605" s="72"/>
      <c r="E605" s="73"/>
      <c r="F605" s="73"/>
      <c r="G605" s="73"/>
      <c r="H605" s="73"/>
    </row>
    <row r="606" spans="2:8" ht="15.75">
      <c r="B606" s="76"/>
      <c r="C606" s="71"/>
      <c r="D606" s="72"/>
      <c r="E606" s="73"/>
      <c r="F606" s="73"/>
      <c r="G606" s="73"/>
      <c r="H606" s="73"/>
    </row>
    <row r="607" spans="2:8" ht="15.75">
      <c r="B607" s="76"/>
      <c r="C607" s="71"/>
      <c r="D607" s="72"/>
      <c r="E607" s="73"/>
      <c r="F607" s="73"/>
      <c r="G607" s="73"/>
      <c r="H607" s="73"/>
    </row>
    <row r="608" spans="2:8" ht="15.75">
      <c r="B608" s="76"/>
      <c r="C608" s="71"/>
      <c r="D608" s="72"/>
      <c r="E608" s="73"/>
      <c r="F608" s="73"/>
      <c r="G608" s="73"/>
      <c r="H608" s="73"/>
    </row>
    <row r="609" spans="2:8" ht="15.75">
      <c r="B609" s="76"/>
      <c r="C609" s="71"/>
      <c r="D609" s="72"/>
      <c r="E609" s="73"/>
      <c r="F609" s="73"/>
      <c r="G609" s="73"/>
      <c r="H609" s="73"/>
    </row>
    <row r="610" spans="2:8" ht="15.75">
      <c r="B610" s="76"/>
      <c r="C610" s="71"/>
      <c r="D610" s="72"/>
      <c r="E610" s="73"/>
      <c r="F610" s="73"/>
      <c r="G610" s="73"/>
      <c r="H610" s="73"/>
    </row>
    <row r="611" spans="2:8" ht="15.75">
      <c r="B611" s="76"/>
      <c r="C611" s="71"/>
      <c r="D611" s="72"/>
      <c r="E611" s="73"/>
      <c r="F611" s="73"/>
      <c r="G611" s="73"/>
      <c r="H611" s="73"/>
    </row>
    <row r="612" spans="2:8" ht="15.75">
      <c r="B612" s="76"/>
      <c r="C612" s="71"/>
      <c r="D612" s="72"/>
      <c r="E612" s="73"/>
      <c r="F612" s="73"/>
      <c r="G612" s="73"/>
      <c r="H612" s="73"/>
    </row>
    <row r="613" spans="2:8" ht="15.75">
      <c r="B613" s="76"/>
      <c r="C613" s="71"/>
      <c r="D613" s="72"/>
      <c r="E613" s="73"/>
      <c r="F613" s="73"/>
      <c r="G613" s="73"/>
      <c r="H613" s="73"/>
    </row>
    <row r="614" spans="2:8" ht="15.75">
      <c r="B614" s="76"/>
      <c r="C614" s="71"/>
      <c r="D614" s="72"/>
      <c r="E614" s="73"/>
      <c r="F614" s="73"/>
      <c r="G614" s="73"/>
      <c r="H614" s="73"/>
    </row>
    <row r="615" spans="2:8" ht="15.75">
      <c r="B615" s="76"/>
      <c r="C615" s="71"/>
      <c r="D615" s="72"/>
      <c r="E615" s="73"/>
      <c r="F615" s="73"/>
      <c r="G615" s="73"/>
      <c r="H615" s="73"/>
    </row>
    <row r="616" spans="2:8" ht="15.75">
      <c r="B616" s="76"/>
      <c r="C616" s="71"/>
      <c r="D616" s="77"/>
      <c r="E616" s="73"/>
      <c r="F616" s="73"/>
      <c r="G616" s="73"/>
      <c r="H616" s="73"/>
    </row>
    <row r="617" spans="2:8" ht="15.75">
      <c r="B617" s="76"/>
      <c r="C617" s="71"/>
      <c r="D617" s="77"/>
      <c r="E617" s="73"/>
      <c r="F617" s="73"/>
      <c r="G617" s="73"/>
      <c r="H617" s="73"/>
    </row>
    <row r="618" spans="2:8" ht="15.75">
      <c r="B618" s="76"/>
      <c r="C618" s="71"/>
      <c r="D618" s="77"/>
      <c r="E618" s="73"/>
      <c r="F618" s="73"/>
      <c r="G618" s="73"/>
      <c r="H618" s="73"/>
    </row>
    <row r="619" spans="2:8" ht="15.75">
      <c r="B619" s="76"/>
      <c r="C619" s="71"/>
      <c r="D619" s="77"/>
      <c r="E619" s="73"/>
      <c r="F619" s="73"/>
      <c r="G619" s="73"/>
      <c r="H619" s="73"/>
    </row>
    <row r="620" spans="2:8" ht="15.75">
      <c r="B620" s="76"/>
      <c r="C620" s="71"/>
      <c r="D620" s="77"/>
      <c r="E620" s="73"/>
      <c r="F620" s="73"/>
      <c r="G620" s="73"/>
      <c r="H620" s="73"/>
    </row>
    <row r="621" spans="2:8" ht="15.75">
      <c r="B621" s="76"/>
      <c r="C621" s="71"/>
      <c r="D621" s="77"/>
      <c r="E621" s="73"/>
      <c r="F621" s="73"/>
      <c r="G621" s="73"/>
      <c r="H621" s="73"/>
    </row>
    <row r="622" spans="2:8" ht="15.75">
      <c r="B622" s="76"/>
      <c r="C622" s="71"/>
      <c r="D622" s="77"/>
      <c r="E622" s="73"/>
      <c r="F622" s="73"/>
      <c r="G622" s="73"/>
      <c r="H622" s="73"/>
    </row>
    <row r="623" spans="2:8" ht="15.75">
      <c r="B623" s="76"/>
      <c r="C623" s="71"/>
      <c r="D623" s="77"/>
      <c r="E623" s="73"/>
      <c r="F623" s="73"/>
      <c r="G623" s="73"/>
      <c r="H623" s="73"/>
    </row>
    <row r="624" spans="2:8" ht="15.75">
      <c r="B624" s="76"/>
      <c r="C624" s="71"/>
      <c r="D624" s="77"/>
      <c r="E624" s="73"/>
      <c r="F624" s="73"/>
      <c r="G624" s="73"/>
      <c r="H624" s="73"/>
    </row>
    <row r="625" spans="2:8" ht="15.75">
      <c r="B625" s="76"/>
      <c r="C625" s="71"/>
      <c r="D625" s="77"/>
      <c r="E625" s="73"/>
      <c r="F625" s="73"/>
      <c r="G625" s="73"/>
      <c r="H625" s="73"/>
    </row>
    <row r="626" spans="2:8" ht="15.75">
      <c r="B626" s="76"/>
      <c r="C626" s="71"/>
      <c r="D626" s="77"/>
      <c r="E626" s="73"/>
      <c r="F626" s="73"/>
      <c r="G626" s="73"/>
      <c r="H626" s="73"/>
    </row>
    <row r="627" spans="2:8" ht="15.75">
      <c r="B627" s="76"/>
      <c r="C627" s="71"/>
      <c r="D627" s="77"/>
      <c r="E627" s="73"/>
      <c r="F627" s="73"/>
      <c r="G627" s="73"/>
      <c r="H627" s="73"/>
    </row>
    <row r="628" spans="2:8" ht="15.75">
      <c r="B628" s="76"/>
      <c r="C628" s="71"/>
      <c r="D628" s="77"/>
      <c r="E628" s="73"/>
      <c r="F628" s="73"/>
      <c r="G628" s="73"/>
      <c r="H628" s="73"/>
    </row>
    <row r="629" spans="2:8" ht="15.75">
      <c r="B629" s="76"/>
      <c r="C629" s="71"/>
      <c r="D629" s="77"/>
      <c r="E629" s="73"/>
      <c r="F629" s="73"/>
      <c r="G629" s="73"/>
      <c r="H629" s="73"/>
    </row>
    <row r="630" spans="2:8" ht="15.75">
      <c r="B630" s="76"/>
      <c r="C630" s="71"/>
      <c r="D630" s="77"/>
      <c r="E630" s="73"/>
      <c r="F630" s="73"/>
      <c r="G630" s="73"/>
      <c r="H630" s="73"/>
    </row>
    <row r="631" spans="2:8" ht="15.75">
      <c r="B631" s="76"/>
      <c r="C631" s="71"/>
      <c r="D631" s="77"/>
      <c r="E631" s="73"/>
      <c r="F631" s="73"/>
      <c r="G631" s="73"/>
      <c r="H631" s="73"/>
    </row>
    <row r="632" spans="2:8" ht="15.75">
      <c r="B632" s="76"/>
      <c r="C632" s="71"/>
      <c r="D632" s="77"/>
      <c r="E632" s="73"/>
      <c r="F632" s="73"/>
      <c r="G632" s="73"/>
      <c r="H632" s="73"/>
    </row>
    <row r="633" spans="2:8" ht="15.75">
      <c r="B633" s="76"/>
      <c r="C633" s="71"/>
      <c r="D633" s="77"/>
      <c r="E633" s="73"/>
      <c r="F633" s="73"/>
      <c r="G633" s="73"/>
      <c r="H633" s="73"/>
    </row>
    <row r="634" spans="2:8" ht="15.75">
      <c r="B634" s="76"/>
      <c r="C634" s="71"/>
      <c r="D634" s="77"/>
      <c r="E634" s="73"/>
      <c r="F634" s="73"/>
      <c r="G634" s="73"/>
      <c r="H634" s="73"/>
    </row>
    <row r="635" spans="2:8" ht="15.75">
      <c r="B635" s="76"/>
      <c r="C635" s="71"/>
      <c r="D635" s="77"/>
      <c r="E635" s="73"/>
      <c r="F635" s="73"/>
      <c r="G635" s="73"/>
      <c r="H635" s="73"/>
    </row>
    <row r="636" spans="2:8" ht="15.75">
      <c r="B636" s="76"/>
      <c r="C636" s="71"/>
      <c r="D636" s="77"/>
      <c r="E636" s="73"/>
      <c r="F636" s="73"/>
      <c r="G636" s="73"/>
      <c r="H636" s="73"/>
    </row>
    <row r="637" spans="2:8" ht="15.75">
      <c r="B637" s="76"/>
      <c r="C637" s="71"/>
      <c r="D637" s="77"/>
      <c r="E637" s="73"/>
      <c r="F637" s="73"/>
      <c r="G637" s="73"/>
      <c r="H637" s="73"/>
    </row>
    <row r="638" spans="2:8" ht="15.75">
      <c r="B638" s="76"/>
      <c r="C638" s="71"/>
      <c r="D638" s="77"/>
      <c r="E638" s="73"/>
      <c r="F638" s="73"/>
      <c r="G638" s="73"/>
      <c r="H638" s="73"/>
    </row>
    <row r="639" spans="2:8" ht="15.75">
      <c r="B639" s="76"/>
      <c r="C639" s="71"/>
      <c r="D639" s="77"/>
      <c r="E639" s="73"/>
      <c r="F639" s="73"/>
      <c r="G639" s="73"/>
      <c r="H639" s="73"/>
    </row>
    <row r="640" spans="2:8" ht="15.75">
      <c r="B640" s="76"/>
      <c r="C640" s="71"/>
      <c r="D640" s="77"/>
      <c r="E640" s="73"/>
      <c r="F640" s="73"/>
      <c r="G640" s="73"/>
      <c r="H640" s="73"/>
    </row>
    <row r="641" spans="2:8" ht="15.75">
      <c r="B641" s="76"/>
      <c r="C641" s="71"/>
      <c r="D641" s="77"/>
      <c r="E641" s="73"/>
      <c r="F641" s="73"/>
      <c r="G641" s="73"/>
      <c r="H641" s="73"/>
    </row>
    <row r="642" spans="2:8" ht="15.75">
      <c r="B642" s="76"/>
      <c r="C642" s="71"/>
      <c r="D642" s="77"/>
      <c r="E642" s="73"/>
      <c r="F642" s="73"/>
      <c r="G642" s="73"/>
      <c r="H642" s="73"/>
    </row>
    <row r="643" spans="2:8" ht="15.75">
      <c r="B643" s="76"/>
      <c r="C643" s="71"/>
      <c r="D643" s="77"/>
      <c r="E643" s="73"/>
      <c r="F643" s="73"/>
      <c r="G643" s="73"/>
      <c r="H643" s="73"/>
    </row>
    <row r="644" spans="2:8" ht="15.75">
      <c r="B644" s="76"/>
      <c r="C644" s="71"/>
      <c r="D644" s="77"/>
      <c r="E644" s="73"/>
      <c r="F644" s="73"/>
      <c r="G644" s="73"/>
      <c r="H644" s="73"/>
    </row>
    <row r="645" spans="2:8" ht="15.75">
      <c r="B645" s="76"/>
      <c r="C645" s="71"/>
      <c r="D645" s="77"/>
      <c r="E645" s="73"/>
      <c r="F645" s="73"/>
      <c r="G645" s="73"/>
      <c r="H645" s="73"/>
    </row>
    <row r="646" spans="2:8" ht="15.75">
      <c r="B646" s="76"/>
      <c r="C646" s="71"/>
      <c r="D646" s="77"/>
      <c r="E646" s="73"/>
      <c r="F646" s="73"/>
      <c r="G646" s="73"/>
      <c r="H646" s="73"/>
    </row>
    <row r="647" spans="2:8" ht="15.75">
      <c r="B647" s="76"/>
      <c r="C647" s="71"/>
      <c r="D647" s="77"/>
      <c r="E647" s="73"/>
      <c r="F647" s="73"/>
      <c r="G647" s="73"/>
      <c r="H647" s="73"/>
    </row>
    <row r="648" spans="2:8" ht="15.75">
      <c r="B648" s="76"/>
      <c r="C648" s="71"/>
      <c r="D648" s="77"/>
      <c r="E648" s="73"/>
      <c r="F648" s="73"/>
      <c r="G648" s="73"/>
      <c r="H648" s="73"/>
    </row>
    <row r="649" spans="2:8" ht="15.75">
      <c r="B649" s="76"/>
      <c r="C649" s="71"/>
      <c r="D649" s="77"/>
      <c r="E649" s="73"/>
      <c r="F649" s="73"/>
      <c r="G649" s="73"/>
      <c r="H649" s="73"/>
    </row>
    <row r="650" spans="2:8" ht="15.75">
      <c r="B650" s="76"/>
      <c r="C650" s="71"/>
      <c r="D650" s="77"/>
      <c r="E650" s="73"/>
      <c r="F650" s="73"/>
      <c r="G650" s="73"/>
      <c r="H650" s="73"/>
    </row>
    <row r="651" spans="2:8" ht="15.75">
      <c r="B651" s="76"/>
      <c r="C651" s="71"/>
      <c r="D651" s="77"/>
      <c r="E651" s="73"/>
      <c r="F651" s="73"/>
      <c r="G651" s="73"/>
      <c r="H651" s="73"/>
    </row>
    <row r="652" spans="2:8" ht="15.75">
      <c r="B652" s="76"/>
      <c r="C652" s="71"/>
      <c r="D652" s="77"/>
      <c r="E652" s="73"/>
      <c r="F652" s="73"/>
      <c r="G652" s="73"/>
      <c r="H652" s="73"/>
    </row>
    <row r="653" spans="2:8" ht="15.75">
      <c r="B653" s="76"/>
      <c r="C653" s="71"/>
      <c r="D653" s="77"/>
      <c r="E653" s="73"/>
      <c r="F653" s="73"/>
      <c r="G653" s="73"/>
      <c r="H653" s="73"/>
    </row>
    <row r="654" spans="2:8" ht="15.75">
      <c r="B654" s="76"/>
      <c r="C654" s="71"/>
      <c r="D654" s="77"/>
      <c r="E654" s="73"/>
      <c r="F654" s="73"/>
      <c r="G654" s="73"/>
      <c r="H654" s="73"/>
    </row>
    <row r="655" spans="2:8" ht="15.75">
      <c r="B655" s="76"/>
      <c r="C655" s="71"/>
      <c r="D655" s="77"/>
      <c r="E655" s="73"/>
      <c r="F655" s="73"/>
      <c r="G655" s="73"/>
      <c r="H655" s="73"/>
    </row>
    <row r="656" spans="2:8" ht="15.75">
      <c r="B656" s="76"/>
      <c r="C656" s="71"/>
      <c r="D656" s="77"/>
      <c r="E656" s="73"/>
      <c r="F656" s="73"/>
      <c r="G656" s="73"/>
      <c r="H656" s="73"/>
    </row>
    <row r="657" spans="2:8" ht="15.75">
      <c r="B657" s="76"/>
      <c r="C657" s="71"/>
      <c r="D657" s="77"/>
      <c r="E657" s="73"/>
      <c r="F657" s="73"/>
      <c r="G657" s="73"/>
      <c r="H657" s="73"/>
    </row>
    <row r="658" spans="2:8" ht="15.75">
      <c r="B658" s="76"/>
      <c r="C658" s="71"/>
      <c r="D658" s="77"/>
      <c r="E658" s="73"/>
      <c r="F658" s="73"/>
      <c r="G658" s="73"/>
      <c r="H658" s="73"/>
    </row>
    <row r="659" spans="2:8" ht="15.75">
      <c r="B659" s="76"/>
      <c r="C659" s="71"/>
      <c r="D659" s="77"/>
      <c r="E659" s="73"/>
      <c r="F659" s="73"/>
      <c r="G659" s="73"/>
      <c r="H659" s="73"/>
    </row>
    <row r="660" spans="2:8" ht="15.75">
      <c r="B660" s="76"/>
      <c r="C660" s="71"/>
      <c r="D660" s="77"/>
      <c r="E660" s="73"/>
      <c r="F660" s="73"/>
      <c r="G660" s="73"/>
      <c r="H660" s="73"/>
    </row>
    <row r="661" spans="2:8" ht="15.75">
      <c r="B661" s="76"/>
      <c r="C661" s="71"/>
      <c r="D661" s="77"/>
      <c r="E661" s="73"/>
      <c r="F661" s="73"/>
      <c r="G661" s="73"/>
      <c r="H661" s="73"/>
    </row>
    <row r="662" spans="2:8" ht="15.75">
      <c r="B662" s="76"/>
      <c r="C662" s="71"/>
      <c r="D662" s="77"/>
      <c r="E662" s="73"/>
      <c r="F662" s="73"/>
      <c r="G662" s="73"/>
      <c r="H662" s="73"/>
    </row>
    <row r="663" spans="2:8" ht="15.75">
      <c r="B663" s="76"/>
      <c r="C663" s="71"/>
      <c r="D663" s="77"/>
      <c r="E663" s="73"/>
      <c r="F663" s="73"/>
      <c r="G663" s="73"/>
      <c r="H663" s="73"/>
    </row>
    <row r="664" spans="2:8" ht="15.75">
      <c r="B664" s="76"/>
      <c r="C664" s="71"/>
      <c r="D664" s="77"/>
      <c r="E664" s="73"/>
      <c r="F664" s="73"/>
      <c r="G664" s="73"/>
      <c r="H664" s="73"/>
    </row>
    <row r="665" spans="2:8" ht="15.75">
      <c r="B665" s="76"/>
      <c r="C665" s="71"/>
      <c r="D665" s="77"/>
      <c r="E665" s="73"/>
      <c r="F665" s="73"/>
      <c r="G665" s="73"/>
      <c r="H665" s="73"/>
    </row>
    <row r="666" spans="2:8" ht="15.75">
      <c r="B666" s="76"/>
      <c r="C666" s="71"/>
      <c r="D666" s="77"/>
      <c r="E666" s="73"/>
      <c r="F666" s="73"/>
      <c r="G666" s="73"/>
      <c r="H666" s="73"/>
    </row>
    <row r="667" spans="2:8" ht="15.75">
      <c r="B667" s="76"/>
      <c r="C667" s="71"/>
      <c r="D667" s="77"/>
      <c r="E667" s="73"/>
      <c r="F667" s="73"/>
      <c r="G667" s="73"/>
      <c r="H667" s="73"/>
    </row>
    <row r="668" spans="2:8" ht="15.75">
      <c r="B668" s="76"/>
      <c r="C668" s="71"/>
      <c r="D668" s="77"/>
      <c r="E668" s="73"/>
      <c r="F668" s="73"/>
      <c r="G668" s="73"/>
      <c r="H668" s="73"/>
    </row>
    <row r="669" spans="2:8" ht="15.75">
      <c r="B669" s="76"/>
      <c r="C669" s="71"/>
      <c r="D669" s="77"/>
      <c r="E669" s="73"/>
      <c r="F669" s="73"/>
      <c r="G669" s="73"/>
      <c r="H669" s="73"/>
    </row>
    <row r="670" spans="2:8" ht="15.75">
      <c r="B670" s="76"/>
      <c r="C670" s="71"/>
      <c r="D670" s="77"/>
      <c r="E670" s="73"/>
      <c r="F670" s="73"/>
      <c r="G670" s="73"/>
      <c r="H670" s="73"/>
    </row>
    <row r="671" spans="2:8" ht="15.75">
      <c r="B671" s="76"/>
      <c r="C671" s="71"/>
      <c r="D671" s="77"/>
      <c r="E671" s="73"/>
      <c r="F671" s="73"/>
      <c r="G671" s="73"/>
      <c r="H671" s="73"/>
    </row>
    <row r="672" spans="2:8" ht="15.75">
      <c r="B672" s="76"/>
      <c r="C672" s="71"/>
      <c r="D672" s="77"/>
      <c r="E672" s="73"/>
      <c r="F672" s="73"/>
      <c r="G672" s="73"/>
      <c r="H672" s="73"/>
    </row>
    <row r="673" spans="2:8" ht="15.75">
      <c r="B673" s="76"/>
      <c r="C673" s="71"/>
      <c r="D673" s="77"/>
      <c r="E673" s="73"/>
      <c r="F673" s="73"/>
      <c r="G673" s="73"/>
      <c r="H673" s="73"/>
    </row>
    <row r="674" spans="2:8" ht="15.75">
      <c r="B674" s="76"/>
      <c r="C674" s="71"/>
      <c r="D674" s="77"/>
      <c r="E674" s="73"/>
      <c r="F674" s="73"/>
      <c r="G674" s="73"/>
      <c r="H674" s="73"/>
    </row>
    <row r="675" spans="2:8" ht="15.75">
      <c r="B675" s="76"/>
      <c r="C675" s="71"/>
      <c r="D675" s="77"/>
      <c r="E675" s="73"/>
      <c r="F675" s="73"/>
      <c r="G675" s="73"/>
      <c r="H675" s="73"/>
    </row>
    <row r="676" spans="2:8" ht="15.75">
      <c r="B676" s="76"/>
      <c r="C676" s="71"/>
      <c r="D676" s="77"/>
      <c r="E676" s="73"/>
      <c r="F676" s="73"/>
      <c r="G676" s="73"/>
      <c r="H676" s="73"/>
    </row>
    <row r="677" spans="2:8" ht="15.75">
      <c r="B677" s="76"/>
      <c r="C677" s="71"/>
      <c r="D677" s="77"/>
      <c r="E677" s="73"/>
      <c r="F677" s="73"/>
      <c r="G677" s="73"/>
      <c r="H677" s="73"/>
    </row>
    <row r="678" spans="2:8" ht="15.75">
      <c r="B678" s="76"/>
      <c r="C678" s="71"/>
      <c r="D678" s="77"/>
      <c r="E678" s="73"/>
      <c r="F678" s="73"/>
      <c r="G678" s="73"/>
      <c r="H678" s="73"/>
    </row>
    <row r="679" spans="2:8" ht="15.75">
      <c r="B679" s="76"/>
      <c r="C679" s="71"/>
      <c r="D679" s="77"/>
      <c r="E679" s="73"/>
      <c r="F679" s="73"/>
      <c r="G679" s="73"/>
      <c r="H679" s="73"/>
    </row>
    <row r="680" spans="2:8" ht="15.75">
      <c r="B680" s="76"/>
      <c r="C680" s="71"/>
      <c r="D680" s="77"/>
      <c r="E680" s="73"/>
      <c r="F680" s="73"/>
      <c r="G680" s="73"/>
      <c r="H680" s="73"/>
    </row>
    <row r="681" spans="2:8" ht="15.75">
      <c r="B681" s="76"/>
      <c r="C681" s="71"/>
      <c r="D681" s="77"/>
      <c r="E681" s="73"/>
      <c r="F681" s="73"/>
      <c r="G681" s="73"/>
      <c r="H681" s="73"/>
    </row>
    <row r="682" spans="2:8" ht="15.75">
      <c r="B682" s="76"/>
      <c r="C682" s="71"/>
      <c r="D682" s="77"/>
      <c r="E682" s="73"/>
      <c r="F682" s="73"/>
      <c r="G682" s="73"/>
      <c r="H682" s="73"/>
    </row>
    <row r="683" spans="2:8" ht="15.75">
      <c r="B683" s="76"/>
      <c r="C683" s="71"/>
      <c r="D683" s="77"/>
      <c r="E683" s="73"/>
      <c r="F683" s="73"/>
      <c r="G683" s="73"/>
      <c r="H683" s="73"/>
    </row>
    <row r="684" spans="2:8" ht="15.75">
      <c r="B684" s="76"/>
      <c r="C684" s="71"/>
      <c r="D684" s="77"/>
      <c r="E684" s="73"/>
      <c r="F684" s="73"/>
      <c r="G684" s="73"/>
      <c r="H684" s="73"/>
    </row>
    <row r="685" spans="2:8" ht="15.75">
      <c r="B685" s="76"/>
      <c r="C685" s="71"/>
      <c r="D685" s="77"/>
      <c r="E685" s="73"/>
      <c r="F685" s="73"/>
      <c r="G685" s="73"/>
      <c r="H685" s="73"/>
    </row>
    <row r="686" spans="2:8" ht="15.75">
      <c r="B686" s="76"/>
      <c r="C686" s="71"/>
      <c r="D686" s="77"/>
      <c r="E686" s="73"/>
      <c r="F686" s="73"/>
      <c r="G686" s="73"/>
      <c r="H686" s="73"/>
    </row>
    <row r="687" spans="2:8" ht="15.75">
      <c r="B687" s="76"/>
      <c r="C687" s="71"/>
      <c r="D687" s="77"/>
      <c r="E687" s="73"/>
      <c r="F687" s="73"/>
      <c r="G687" s="73"/>
      <c r="H687" s="73"/>
    </row>
    <row r="688" spans="2:8" ht="15.75">
      <c r="B688" s="76"/>
      <c r="C688" s="71"/>
      <c r="D688" s="77"/>
      <c r="E688" s="73"/>
      <c r="F688" s="73"/>
      <c r="G688" s="73"/>
      <c r="H688" s="73"/>
    </row>
    <row r="689" spans="2:8" ht="15.75">
      <c r="B689" s="76"/>
      <c r="C689" s="71"/>
      <c r="D689" s="77"/>
      <c r="E689" s="73"/>
      <c r="F689" s="73"/>
      <c r="G689" s="73"/>
      <c r="H689" s="73"/>
    </row>
    <row r="690" spans="2:8" ht="15.75">
      <c r="B690" s="76"/>
      <c r="C690" s="71"/>
      <c r="D690" s="77"/>
      <c r="E690" s="73"/>
      <c r="F690" s="73"/>
      <c r="G690" s="73"/>
      <c r="H690" s="73"/>
    </row>
    <row r="691" spans="2:8" ht="15.75">
      <c r="B691" s="76"/>
      <c r="C691" s="71"/>
      <c r="D691" s="77"/>
      <c r="E691" s="73"/>
      <c r="F691" s="73"/>
      <c r="G691" s="73"/>
      <c r="H691" s="73"/>
    </row>
    <row r="692" spans="2:8" ht="15.75">
      <c r="B692" s="76"/>
      <c r="C692" s="71"/>
      <c r="D692" s="77"/>
      <c r="E692" s="73"/>
      <c r="F692" s="73"/>
      <c r="G692" s="73"/>
      <c r="H692" s="73"/>
    </row>
    <row r="693" spans="2:8" ht="15.75">
      <c r="B693" s="76"/>
      <c r="C693" s="71"/>
      <c r="D693" s="77"/>
      <c r="E693" s="73"/>
      <c r="F693" s="73"/>
      <c r="G693" s="73"/>
      <c r="H693" s="73"/>
    </row>
    <row r="694" spans="2:8" ht="15.75">
      <c r="B694" s="76"/>
      <c r="C694" s="71"/>
      <c r="D694" s="77"/>
      <c r="E694" s="73"/>
      <c r="F694" s="73"/>
      <c r="G694" s="73"/>
      <c r="H694" s="73"/>
    </row>
    <row r="695" spans="2:8" ht="15.75">
      <c r="B695" s="76"/>
      <c r="C695" s="71"/>
      <c r="D695" s="77"/>
      <c r="E695" s="73"/>
      <c r="F695" s="73"/>
      <c r="G695" s="73"/>
      <c r="H695" s="73"/>
    </row>
    <row r="696" spans="2:8" ht="15.75">
      <c r="B696" s="76"/>
      <c r="C696" s="71"/>
      <c r="D696" s="77"/>
      <c r="E696" s="73"/>
      <c r="F696" s="73"/>
      <c r="G696" s="73"/>
      <c r="H696" s="73"/>
    </row>
    <row r="697" spans="2:8" ht="15.75">
      <c r="B697" s="76"/>
      <c r="C697" s="71"/>
      <c r="D697" s="77"/>
      <c r="E697" s="73"/>
      <c r="F697" s="73"/>
      <c r="G697" s="73"/>
      <c r="H697" s="73"/>
    </row>
    <row r="698" spans="2:8" ht="15.75">
      <c r="B698" s="76"/>
      <c r="C698" s="71"/>
      <c r="D698" s="77"/>
      <c r="E698" s="73"/>
      <c r="F698" s="73"/>
      <c r="G698" s="73"/>
      <c r="H698" s="73"/>
    </row>
    <row r="699" spans="2:8" ht="15.75">
      <c r="B699" s="76"/>
      <c r="C699" s="71"/>
      <c r="D699" s="77"/>
      <c r="E699" s="73"/>
      <c r="F699" s="73"/>
      <c r="G699" s="73"/>
      <c r="H699" s="73"/>
    </row>
    <row r="700" spans="2:8" ht="15.75">
      <c r="B700" s="76"/>
      <c r="C700" s="71"/>
      <c r="D700" s="77"/>
      <c r="E700" s="73"/>
      <c r="F700" s="73"/>
      <c r="G700" s="73"/>
      <c r="H700" s="73"/>
    </row>
    <row r="701" spans="2:8" ht="15.75">
      <c r="B701" s="76"/>
      <c r="C701" s="71"/>
      <c r="D701" s="77"/>
      <c r="E701" s="73"/>
      <c r="F701" s="73"/>
      <c r="G701" s="73"/>
      <c r="H701" s="73"/>
    </row>
    <row r="702" spans="2:8" ht="15.75">
      <c r="B702" s="76"/>
      <c r="C702" s="71"/>
      <c r="D702" s="77"/>
      <c r="E702" s="73"/>
      <c r="F702" s="73"/>
      <c r="G702" s="73"/>
      <c r="H702" s="73"/>
    </row>
    <row r="703" spans="2:8" ht="15.75">
      <c r="B703" s="76"/>
      <c r="C703" s="71"/>
      <c r="D703" s="77"/>
      <c r="E703" s="73"/>
      <c r="F703" s="73"/>
      <c r="G703" s="73"/>
      <c r="H703" s="73"/>
    </row>
    <row r="704" spans="2:8" ht="15.75">
      <c r="B704" s="76"/>
      <c r="C704" s="71"/>
      <c r="D704" s="77"/>
      <c r="E704" s="73"/>
      <c r="F704" s="73"/>
      <c r="G704" s="73"/>
      <c r="H704" s="73"/>
    </row>
    <row r="705" spans="2:8" ht="15.75">
      <c r="B705" s="76"/>
      <c r="C705" s="71"/>
      <c r="D705" s="77"/>
      <c r="E705" s="73"/>
      <c r="F705" s="73"/>
      <c r="G705" s="73"/>
      <c r="H705" s="73"/>
    </row>
    <row r="706" spans="2:8" ht="15.75">
      <c r="B706" s="76"/>
      <c r="C706" s="71"/>
      <c r="D706" s="77"/>
      <c r="E706" s="73"/>
      <c r="F706" s="73"/>
      <c r="G706" s="73"/>
      <c r="H706" s="73"/>
    </row>
    <row r="707" spans="2:8" ht="15.75">
      <c r="B707" s="76"/>
      <c r="C707" s="71"/>
      <c r="D707" s="77"/>
      <c r="E707" s="73"/>
      <c r="F707" s="73"/>
      <c r="G707" s="73"/>
      <c r="H707" s="73"/>
    </row>
    <row r="708" spans="2:8" ht="15.75">
      <c r="B708" s="76"/>
      <c r="C708" s="71"/>
      <c r="D708" s="77"/>
      <c r="E708" s="73"/>
      <c r="F708" s="73"/>
      <c r="G708" s="73"/>
      <c r="H708" s="73"/>
    </row>
    <row r="709" spans="2:8" ht="15.75">
      <c r="B709" s="76"/>
      <c r="C709" s="71"/>
      <c r="D709" s="77"/>
      <c r="E709" s="73"/>
      <c r="F709" s="73"/>
      <c r="G709" s="73"/>
      <c r="H709" s="73"/>
    </row>
    <row r="710" spans="2:8" ht="15.75">
      <c r="B710" s="76"/>
      <c r="C710" s="71"/>
      <c r="D710" s="77"/>
      <c r="E710" s="73"/>
      <c r="F710" s="73"/>
      <c r="G710" s="73"/>
      <c r="H710" s="73"/>
    </row>
    <row r="711" spans="2:8" ht="15.75">
      <c r="B711" s="76"/>
      <c r="C711" s="71"/>
      <c r="D711" s="77"/>
      <c r="E711" s="73"/>
      <c r="F711" s="73"/>
      <c r="G711" s="73"/>
      <c r="H711" s="73"/>
    </row>
    <row r="712" spans="2:8" ht="15.75">
      <c r="B712" s="76"/>
      <c r="C712" s="71"/>
      <c r="D712" s="77"/>
      <c r="E712" s="73"/>
      <c r="F712" s="73"/>
      <c r="G712" s="73"/>
      <c r="H712" s="73"/>
    </row>
    <row r="713" spans="2:8" ht="15.75">
      <c r="B713" s="76"/>
      <c r="C713" s="71"/>
      <c r="D713" s="77"/>
      <c r="E713" s="73"/>
      <c r="F713" s="73"/>
      <c r="G713" s="73"/>
      <c r="H713" s="73"/>
    </row>
    <row r="714" spans="2:8" ht="15.75">
      <c r="B714" s="76"/>
      <c r="C714" s="71"/>
      <c r="D714" s="77"/>
      <c r="E714" s="73"/>
      <c r="F714" s="73"/>
      <c r="G714" s="73"/>
      <c r="H714" s="73"/>
    </row>
    <row r="715" spans="2:8" ht="15.75">
      <c r="B715" s="76"/>
      <c r="C715" s="71"/>
      <c r="D715" s="77"/>
      <c r="E715" s="73"/>
      <c r="F715" s="73"/>
      <c r="G715" s="73"/>
      <c r="H715" s="73"/>
    </row>
    <row r="716" spans="2:8" ht="15.75">
      <c r="B716" s="76"/>
      <c r="C716" s="71"/>
      <c r="D716" s="77"/>
      <c r="E716" s="73"/>
      <c r="F716" s="73"/>
      <c r="G716" s="73"/>
      <c r="H716" s="73"/>
    </row>
    <row r="717" spans="2:8" ht="15.75">
      <c r="B717" s="76"/>
      <c r="C717" s="71"/>
      <c r="D717" s="77"/>
      <c r="E717" s="73"/>
      <c r="F717" s="73"/>
      <c r="G717" s="73"/>
      <c r="H717" s="73"/>
    </row>
    <row r="718" spans="2:8" ht="15.75">
      <c r="B718" s="76"/>
      <c r="C718" s="71"/>
      <c r="D718" s="77"/>
      <c r="E718" s="73"/>
      <c r="F718" s="73"/>
      <c r="G718" s="73"/>
      <c r="H718" s="73"/>
    </row>
    <row r="719" spans="2:8" ht="15.75">
      <c r="B719" s="76"/>
      <c r="C719" s="71"/>
      <c r="D719" s="77"/>
      <c r="E719" s="73"/>
      <c r="F719" s="73"/>
      <c r="G719" s="73"/>
      <c r="H719" s="73"/>
    </row>
    <row r="720" spans="2:8" ht="15.75">
      <c r="B720" s="76"/>
      <c r="C720" s="71"/>
      <c r="D720" s="77"/>
      <c r="E720" s="73"/>
      <c r="F720" s="73"/>
      <c r="G720" s="73"/>
      <c r="H720" s="73"/>
    </row>
    <row r="721" spans="2:8" ht="15.75">
      <c r="B721" s="76"/>
      <c r="C721" s="71"/>
      <c r="D721" s="77"/>
      <c r="E721" s="73"/>
      <c r="F721" s="73"/>
      <c r="G721" s="73"/>
      <c r="H721" s="73"/>
    </row>
    <row r="722" spans="2:8" ht="15.75">
      <c r="B722" s="76"/>
      <c r="C722" s="71"/>
      <c r="D722" s="77"/>
      <c r="E722" s="73"/>
      <c r="F722" s="73"/>
      <c r="G722" s="73"/>
      <c r="H722" s="73"/>
    </row>
    <row r="723" spans="2:8" ht="15.75">
      <c r="B723" s="76"/>
      <c r="C723" s="71"/>
      <c r="D723" s="77"/>
      <c r="E723" s="73"/>
      <c r="F723" s="73"/>
      <c r="G723" s="73"/>
      <c r="H723" s="73"/>
    </row>
    <row r="724" spans="2:8" ht="15.75">
      <c r="B724" s="76"/>
      <c r="C724" s="71"/>
      <c r="D724" s="77"/>
      <c r="E724" s="73"/>
      <c r="F724" s="73"/>
      <c r="G724" s="73"/>
      <c r="H724" s="73"/>
    </row>
    <row r="725" spans="2:8" ht="15.75">
      <c r="B725" s="76"/>
      <c r="C725" s="71"/>
      <c r="D725" s="77"/>
      <c r="E725" s="73"/>
      <c r="F725" s="73"/>
      <c r="G725" s="73"/>
      <c r="H725" s="73"/>
    </row>
    <row r="726" spans="2:8" ht="15.75">
      <c r="B726" s="76"/>
      <c r="C726" s="71"/>
      <c r="D726" s="77"/>
      <c r="E726" s="73"/>
      <c r="F726" s="73"/>
      <c r="G726" s="73"/>
      <c r="H726" s="73"/>
    </row>
    <row r="727" spans="2:8" ht="15.75">
      <c r="B727" s="76"/>
      <c r="C727" s="71"/>
      <c r="D727" s="77"/>
      <c r="E727" s="73"/>
      <c r="F727" s="73"/>
      <c r="G727" s="73"/>
      <c r="H727" s="73"/>
    </row>
    <row r="728" spans="2:8" ht="15.75">
      <c r="B728" s="76"/>
      <c r="C728" s="71"/>
      <c r="D728" s="77"/>
      <c r="E728" s="73"/>
      <c r="F728" s="73"/>
      <c r="G728" s="73"/>
      <c r="H728" s="73"/>
    </row>
    <row r="729" spans="2:8" ht="15.75">
      <c r="B729" s="76"/>
      <c r="C729" s="71"/>
      <c r="D729" s="77"/>
      <c r="E729" s="73"/>
      <c r="F729" s="73"/>
      <c r="G729" s="73"/>
      <c r="H729" s="73"/>
    </row>
    <row r="730" spans="2:8" ht="15.75">
      <c r="B730" s="76"/>
      <c r="C730" s="71"/>
      <c r="D730" s="77"/>
      <c r="E730" s="73"/>
      <c r="F730" s="73"/>
      <c r="G730" s="73"/>
      <c r="H730" s="73"/>
    </row>
    <row r="731" spans="2:8" ht="15.75">
      <c r="B731" s="76"/>
      <c r="C731" s="71"/>
      <c r="D731" s="77"/>
      <c r="E731" s="73"/>
      <c r="F731" s="73"/>
      <c r="G731" s="73"/>
      <c r="H731" s="73"/>
    </row>
    <row r="732" spans="2:8" ht="15.75">
      <c r="B732" s="76"/>
      <c r="C732" s="71"/>
      <c r="D732" s="77"/>
      <c r="E732" s="73"/>
      <c r="F732" s="73"/>
      <c r="G732" s="73"/>
      <c r="H732" s="73"/>
    </row>
    <row r="733" spans="2:8" ht="15.75">
      <c r="B733" s="76"/>
      <c r="C733" s="71"/>
      <c r="D733" s="77"/>
      <c r="E733" s="73"/>
      <c r="F733" s="73"/>
      <c r="G733" s="73"/>
      <c r="H733" s="73"/>
    </row>
    <row r="734" spans="2:8" ht="15.75">
      <c r="B734" s="76"/>
      <c r="C734" s="71"/>
      <c r="D734" s="77"/>
      <c r="E734" s="73"/>
      <c r="F734" s="73"/>
      <c r="G734" s="73"/>
      <c r="H734" s="73"/>
    </row>
    <row r="735" spans="2:8" ht="15.75">
      <c r="B735" s="76"/>
      <c r="C735" s="71"/>
      <c r="D735" s="77"/>
      <c r="E735" s="73"/>
      <c r="F735" s="73"/>
      <c r="G735" s="73"/>
      <c r="H735" s="73"/>
    </row>
    <row r="736" spans="2:8" ht="15.75">
      <c r="B736" s="76"/>
      <c r="C736" s="71"/>
      <c r="D736" s="77"/>
      <c r="E736" s="73"/>
      <c r="F736" s="73"/>
      <c r="G736" s="73"/>
      <c r="H736" s="73"/>
    </row>
    <row r="737" spans="2:8" ht="15.75">
      <c r="B737" s="76"/>
      <c r="C737" s="71"/>
      <c r="D737" s="77"/>
      <c r="E737" s="73"/>
      <c r="F737" s="73"/>
      <c r="G737" s="73"/>
      <c r="H737" s="73"/>
    </row>
    <row r="738" spans="2:8" ht="15.75">
      <c r="B738" s="76"/>
      <c r="C738" s="71"/>
      <c r="D738" s="77"/>
      <c r="E738" s="73"/>
      <c r="F738" s="73"/>
      <c r="G738" s="73"/>
      <c r="H738" s="73"/>
    </row>
    <row r="739" spans="2:8" ht="15.75">
      <c r="B739" s="76"/>
      <c r="C739" s="71"/>
      <c r="D739" s="77"/>
      <c r="E739" s="73"/>
      <c r="F739" s="73"/>
      <c r="G739" s="73"/>
      <c r="H739" s="73"/>
    </row>
    <row r="740" spans="2:8" ht="15.75">
      <c r="B740" s="76"/>
      <c r="C740" s="71"/>
      <c r="D740" s="77"/>
      <c r="E740" s="73"/>
      <c r="F740" s="73"/>
      <c r="G740" s="73"/>
      <c r="H740" s="73"/>
    </row>
    <row r="741" spans="2:8" ht="15.75">
      <c r="B741" s="76"/>
      <c r="C741" s="71"/>
      <c r="D741" s="77"/>
      <c r="E741" s="73"/>
      <c r="F741" s="73"/>
      <c r="G741" s="73"/>
      <c r="H741" s="73"/>
    </row>
    <row r="742" spans="2:8" ht="15.75">
      <c r="B742" s="76"/>
      <c r="C742" s="71"/>
      <c r="D742" s="77"/>
      <c r="E742" s="73"/>
      <c r="F742" s="73"/>
      <c r="G742" s="73"/>
      <c r="H742" s="73"/>
    </row>
    <row r="743" spans="2:8" ht="15.75">
      <c r="B743" s="76"/>
      <c r="C743" s="71"/>
      <c r="D743" s="77"/>
      <c r="E743" s="73"/>
      <c r="F743" s="73"/>
      <c r="G743" s="73"/>
      <c r="H743" s="73"/>
    </row>
    <row r="744" spans="2:8" ht="15.75">
      <c r="B744" s="76"/>
      <c r="C744" s="71"/>
      <c r="D744" s="77"/>
      <c r="E744" s="73"/>
      <c r="F744" s="73"/>
      <c r="G744" s="73"/>
      <c r="H744" s="73"/>
    </row>
    <row r="745" spans="2:8" ht="15.75">
      <c r="B745" s="76"/>
      <c r="C745" s="71"/>
      <c r="D745" s="77"/>
      <c r="E745" s="73"/>
      <c r="F745" s="73"/>
      <c r="G745" s="73"/>
      <c r="H745" s="73"/>
    </row>
  </sheetData>
  <sheetProtection password="CE28" sheet="1" objects="1" scenarios="1"/>
  <autoFilter ref="A4:M457"/>
  <mergeCells count="111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5:A27"/>
    <mergeCell ref="B5:B27"/>
    <mergeCell ref="A28:A50"/>
    <mergeCell ref="B28:B50"/>
    <mergeCell ref="A51:A64"/>
    <mergeCell ref="B51:B64"/>
    <mergeCell ref="A67:A69"/>
    <mergeCell ref="B67:B69"/>
    <mergeCell ref="A70:A86"/>
    <mergeCell ref="B70:B86"/>
    <mergeCell ref="A87:A104"/>
    <mergeCell ref="B87:B104"/>
    <mergeCell ref="A105:A118"/>
    <mergeCell ref="B105:B118"/>
    <mergeCell ref="A119:A123"/>
    <mergeCell ref="B119:B123"/>
    <mergeCell ref="A124:A138"/>
    <mergeCell ref="B124:B138"/>
    <mergeCell ref="A139:A151"/>
    <mergeCell ref="B139:B151"/>
    <mergeCell ref="A152:A164"/>
    <mergeCell ref="B152:B164"/>
    <mergeCell ref="A165:A177"/>
    <mergeCell ref="B165:B177"/>
    <mergeCell ref="A178:A191"/>
    <mergeCell ref="B178:B191"/>
    <mergeCell ref="A192:A204"/>
    <mergeCell ref="B192:B204"/>
    <mergeCell ref="A205:A215"/>
    <mergeCell ref="B205:B215"/>
    <mergeCell ref="A216:A228"/>
    <mergeCell ref="B216:B228"/>
    <mergeCell ref="A229:A240"/>
    <mergeCell ref="B229:B240"/>
    <mergeCell ref="A241:A258"/>
    <mergeCell ref="B241:B258"/>
    <mergeCell ref="A259:A272"/>
    <mergeCell ref="B259:B272"/>
    <mergeCell ref="A273:A284"/>
    <mergeCell ref="B273:B284"/>
    <mergeCell ref="A285:A300"/>
    <mergeCell ref="B285:B300"/>
    <mergeCell ref="A301:A318"/>
    <mergeCell ref="B301:B318"/>
    <mergeCell ref="A319:A327"/>
    <mergeCell ref="B319:B327"/>
    <mergeCell ref="A328:A349"/>
    <mergeCell ref="B328:B349"/>
    <mergeCell ref="A350:A366"/>
    <mergeCell ref="B350:B366"/>
    <mergeCell ref="A367:A369"/>
    <mergeCell ref="B367:B369"/>
    <mergeCell ref="A370:A380"/>
    <mergeCell ref="B370:B380"/>
    <mergeCell ref="A381:A393"/>
    <mergeCell ref="B381:B393"/>
    <mergeCell ref="A449:A455"/>
    <mergeCell ref="B449:B455"/>
    <mergeCell ref="A394:A403"/>
    <mergeCell ref="B394:B403"/>
    <mergeCell ref="A404:A405"/>
    <mergeCell ref="B404:B405"/>
    <mergeCell ref="A406:A409"/>
    <mergeCell ref="B406:B409"/>
    <mergeCell ref="A410:A422"/>
    <mergeCell ref="B410:B422"/>
    <mergeCell ref="A423:A438"/>
    <mergeCell ref="B423:B438"/>
    <mergeCell ref="A439:A447"/>
    <mergeCell ref="B439:B447"/>
    <mergeCell ref="A456:A457"/>
    <mergeCell ref="B456:B457"/>
    <mergeCell ref="E459:E460"/>
    <mergeCell ref="G459:G460"/>
    <mergeCell ref="F459:F460"/>
    <mergeCell ref="J459:J460"/>
    <mergeCell ref="H459:H460"/>
    <mergeCell ref="I459:I460"/>
    <mergeCell ref="K459:K460"/>
    <mergeCell ref="L464:L465"/>
    <mergeCell ref="A464:A465"/>
    <mergeCell ref="B464:B465"/>
    <mergeCell ref="C464:C465"/>
    <mergeCell ref="D464:D465"/>
    <mergeCell ref="E464:E465"/>
    <mergeCell ref="F464:F465"/>
    <mergeCell ref="A461:K461"/>
    <mergeCell ref="C529:D529"/>
    <mergeCell ref="C530:D530"/>
    <mergeCell ref="M464:M465"/>
    <mergeCell ref="A466:A530"/>
    <mergeCell ref="B466:B530"/>
    <mergeCell ref="G464:G465"/>
    <mergeCell ref="H464:H465"/>
    <mergeCell ref="I464:I465"/>
    <mergeCell ref="J464:J465"/>
    <mergeCell ref="K464:K465"/>
  </mergeCells>
  <printOptions/>
  <pageMargins left="0.55" right="0.22" top="0.39" bottom="0.38" header="0.4330708661417323" footer="0.1574803149606299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2011-02-09T16:12:17Z</cp:lastPrinted>
  <dcterms:created xsi:type="dcterms:W3CDTF">2011-02-09T07:28:13Z</dcterms:created>
  <dcterms:modified xsi:type="dcterms:W3CDTF">2011-02-10T06:44:38Z</dcterms:modified>
  <cp:category/>
  <cp:version/>
  <cp:contentType/>
  <cp:contentStatus/>
</cp:coreProperties>
</file>