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tabRatio="603" firstSheet="1" activeTab="1"/>
  </bookViews>
  <sheets>
    <sheet name="шаблон" sheetId="1" r:id="rId1"/>
    <sheet name="01.07.ДФ новый" sheetId="2" r:id="rId2"/>
    <sheet name="Лист1" sheetId="3" r:id="rId3"/>
    <sheet name="Лист2" sheetId="4" r:id="rId4"/>
  </sheets>
  <definedNames>
    <definedName name="_xlnm.Print_Titles" localSheetId="1">'01.07.ДФ новый'!$6:$7</definedName>
  </definedNames>
  <calcPr fullCalcOnLoad="1"/>
</workbook>
</file>

<file path=xl/sharedStrings.xml><?xml version="1.0" encoding="utf-8"?>
<sst xmlns="http://schemas.openxmlformats.org/spreadsheetml/2006/main" count="828" uniqueCount="203">
  <si>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</si>
  <si>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</si>
  <si>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</si>
  <si>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</si>
  <si>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</si>
  <si>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отклонение абсолютное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</si>
  <si>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</si>
  <si>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</si>
  <si>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</si>
  <si>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</si>
  <si>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</si>
  <si>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</si>
  <si>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</si>
  <si>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</si>
  <si>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</si>
  <si>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</si>
  <si>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</si>
  <si>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</si>
  <si>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</si>
  <si>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</si>
  <si>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</si>
  <si>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</si>
  <si>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</t>
  </si>
  <si>
    <t>УВД</t>
  </si>
  <si>
    <t>1 08 07140 01 0000 110</t>
  </si>
  <si>
    <t>Госпошлина за регистрац трансп. средств</t>
  </si>
  <si>
    <t>321</t>
  </si>
  <si>
    <t xml:space="preserve"> ГУ Фед. рег. службы по ПК</t>
  </si>
  <si>
    <t xml:space="preserve">Госпошлина за регистрацию общественных объединений, политических партий 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</si>
  <si>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</si>
  <si>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</si>
  <si>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</si>
  <si>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</si>
  <si>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</si>
  <si>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1 11 08044 04 0000 120</t>
  </si>
  <si>
    <t>Доходы по договорам на размещение средств наружной рекламы</t>
  </si>
  <si>
    <t>1 11 05034 04 0000 120</t>
  </si>
  <si>
    <t>Доходы от сдачи в аренду муниципального имущества</t>
  </si>
  <si>
    <t>163</t>
  </si>
  <si>
    <t>ДИО</t>
  </si>
  <si>
    <t>1 11 01040 04 0000 120</t>
  </si>
  <si>
    <t>Дивиденды по акциям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</si>
  <si>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</si>
  <si>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</si>
  <si>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</si>
  <si>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</si>
  <si>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</si>
  <si>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</si>
  <si>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</si>
  <si>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</si>
  <si>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</si>
  <si>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</si>
  <si>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</si>
  <si>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</si>
  <si>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</si>
  <si>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>904</t>
  </si>
  <si>
    <t>ДПиР</t>
  </si>
  <si>
    <t>2 07 04000 04 0000 180</t>
  </si>
  <si>
    <t>Прочие безвозмездные поступления (по соглашениям)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</si>
  <si>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</si>
  <si>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</si>
  <si>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</si>
  <si>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</si>
  <si>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</si>
  <si>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</si>
  <si>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</si>
  <si>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</si>
  <si>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</si>
  <si>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</si>
  <si>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</si>
  <si>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</si>
  <si>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</si>
  <si>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</si>
  <si>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</si>
  <si>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</si>
  <si>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</si>
  <si>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</si>
  <si>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</si>
  <si>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</si>
  <si>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</si>
  <si>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</si>
  <si>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</si>
  <si>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</si>
  <si>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3 00 00000 00 0000 000</t>
  </si>
  <si>
    <t>ДОХОДЫ ОТ ПРЕДПРИНИМАТЕЛЬСКОЙ И ИНОЙ ПРИНОСЯЩЕЙ ДОХОД ДЕЯТЕЛЬНОСТИ</t>
  </si>
  <si>
    <t>БЕЗВОЗМЕЗДНЫЕ ПОСТУПЛЕНИЯ</t>
  </si>
  <si>
    <t>2 02 01001 04 0000 151</t>
  </si>
  <si>
    <t>2 02 02000 00 0000 000</t>
  </si>
  <si>
    <t>920</t>
  </si>
  <si>
    <t>Депар. здрав.</t>
  </si>
  <si>
    <t>Прочие безвозмездные поступления (Лукойл)</t>
  </si>
  <si>
    <t>930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</si>
  <si>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</si>
  <si>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</si>
  <si>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</si>
  <si>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</si>
  <si>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2 02 04000 00 0000 000</t>
  </si>
  <si>
    <t>915</t>
  </si>
  <si>
    <t>МУ экологии</t>
  </si>
  <si>
    <t>925</t>
  </si>
  <si>
    <t>Департамент культуры</t>
  </si>
  <si>
    <t>976</t>
  </si>
  <si>
    <t>Комитет физкультуры</t>
  </si>
  <si>
    <t>Департамент образования</t>
  </si>
  <si>
    <t>944</t>
  </si>
  <si>
    <t>УВБ</t>
  </si>
  <si>
    <t>975</t>
  </si>
  <si>
    <t>964</t>
  </si>
  <si>
    <t>МУ "Служба спасения"</t>
  </si>
  <si>
    <t xml:space="preserve">Арендная плата за земельные участки, находящиеся в собственности городских округов </t>
  </si>
  <si>
    <t>931-937, 991</t>
  </si>
  <si>
    <t xml:space="preserve">Прочие безвозмездные поступления (Лукойл)                       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</si>
  <si>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  **)</t>
    </r>
  </si>
  <si>
    <t>2 02 09000 04 0000 180</t>
  </si>
  <si>
    <t>1 13 03040 04 0000 130</t>
  </si>
  <si>
    <t>1 08 03010 01 0000 110</t>
  </si>
  <si>
    <t xml:space="preserve"> 1 08 07110-120 01 0000 110</t>
  </si>
  <si>
    <t>Прочие неналоговые доходы бюджетов городских округов</t>
  </si>
  <si>
    <t>2 02 00000 00 0000 000</t>
  </si>
  <si>
    <t>Прочие доходы от оказания платных услуг и компенсации затрат бюджетов городских округов</t>
  </si>
  <si>
    <t xml:space="preserve">Единый налог на вмененный доход </t>
  </si>
  <si>
    <t>Доходы от предпринимательской деятельности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</si>
  <si>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</si>
  <si>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в том числе:</t>
  </si>
  <si>
    <t>Администрации районов, УЖО</t>
  </si>
  <si>
    <t xml:space="preserve">                                                                 Оперативный анализ  поступления доходов в 2008 году</t>
  </si>
  <si>
    <t>Справочно: Факт январь 2007 год</t>
  </si>
  <si>
    <t xml:space="preserve">Факт с начала года на 01.02.08г. 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</si>
  <si>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</si>
  <si>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</si>
  <si>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</si>
  <si>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1 14 02033 04 0000 410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</si>
  <si>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</si>
  <si>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</si>
  <si>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</si>
  <si>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</si>
  <si>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01 06 01 00 04 0000 630</t>
  </si>
  <si>
    <t>Департамент имущественных отношений</t>
  </si>
  <si>
    <t>Комитет по культуре</t>
  </si>
  <si>
    <t>Уточненный годовой план на 2008 год (Реш. ПГД  от 25.12.07 № 310)</t>
  </si>
  <si>
    <t>Средства от продажи акций и иных форм участия в капитале, находящихся в собственности городских округов</t>
  </si>
  <si>
    <t>Иные межбюджетные трансферты</t>
  </si>
  <si>
    <t>2 02 03000 00 0000 000</t>
  </si>
  <si>
    <t>Кассовый план I квартала 2008 года</t>
  </si>
  <si>
    <t>факт январь 2008 год</t>
  </si>
  <si>
    <t>Администрация г. Перми, МУ "Архив"</t>
  </si>
  <si>
    <t>1 14 06024 04 0000 420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</si>
  <si>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</si>
  <si>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% выполнения плана года</t>
  </si>
  <si>
    <t xml:space="preserve">% выполн. плана I квартала 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</si>
  <si>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</si>
  <si>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Субвенции от других бюджетов бюджетной системы РФ    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</si>
  <si>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</si>
  <si>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</si>
  <si>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Субсидии от других бюджетов бюджетной системы РФ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</si>
  <si>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</si>
  <si>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 xml:space="preserve">Субвенции от других бюджетов бюджетной системы РФ        </t>
  </si>
  <si>
    <t xml:space="preserve">Прочие поступления от использования имущества, находящегося в собственности городских округов 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</si>
  <si>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</si>
  <si>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</si>
  <si>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</si>
  <si>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</si>
  <si>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год</t>
  </si>
  <si>
    <t xml:space="preserve"> I полугодие </t>
  </si>
  <si>
    <t>Администрация г. Перми</t>
  </si>
  <si>
    <t>Отклонение абсолютное факта от плана  I полугодия</t>
  </si>
  <si>
    <t>% выполн. к плану I полугодия</t>
  </si>
  <si>
    <t>Департамент планирования и развития территорий</t>
  </si>
  <si>
    <t xml:space="preserve">Управление экологии и природопользования </t>
  </si>
  <si>
    <t>Управление здравоохранения</t>
  </si>
  <si>
    <t>Управление жилищно-коммунального хозяйства</t>
  </si>
  <si>
    <t>Управление внешнего благоустройства</t>
  </si>
  <si>
    <t>Департамент общественной безопасности</t>
  </si>
  <si>
    <t>Управление по развитию потребительского рынка</t>
  </si>
  <si>
    <t>Департамент земельных отношений</t>
  </si>
  <si>
    <t>Иные администраторы</t>
  </si>
  <si>
    <t>1 08 07130 01 0000 110</t>
  </si>
  <si>
    <t>991</t>
  </si>
  <si>
    <t>Уточненный годовой план на 2008 год (Реш. ПГД  от 24.06.08 № 206)</t>
  </si>
  <si>
    <t xml:space="preserve">Факт с начала года на 01.07.08г. </t>
  </si>
  <si>
    <t>Справочно: Факт  на 01.07.2007 год</t>
  </si>
  <si>
    <t>Платежи, взымаемые организациями городских округов за выполнение определенных функций</t>
  </si>
  <si>
    <t>1 15 02040 04 0000 140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</si>
  <si>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</si>
  <si>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</si>
  <si>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</si>
  <si>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</si>
  <si>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</si>
  <si>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321, 086</t>
  </si>
  <si>
    <t xml:space="preserve"> ГУ Фед. регистрационной службы по ПК,   УФС по надpзору в сфере связи</t>
  </si>
  <si>
    <t>Отклонение абсолютное факта от плана  года</t>
  </si>
  <si>
    <t>% выполн. к плану года</t>
  </si>
  <si>
    <t xml:space="preserve">Управление жлищных отношений </t>
  </si>
  <si>
    <t xml:space="preserve">Субсидии от других бюджетов бюджетной системы РФ        </t>
  </si>
  <si>
    <t>931-938</t>
  </si>
  <si>
    <t>Администрации районов, Н.-Ляды</t>
  </si>
  <si>
    <t xml:space="preserve">ГУВД   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</si>
  <si>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</si>
  <si>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Оценка ожидаемого исполнения</t>
  </si>
  <si>
    <t>приложение 2</t>
  </si>
  <si>
    <t xml:space="preserve">                                                                 Оперативный анализ поступления доходов на 1 июля 2008 года</t>
  </si>
  <si>
    <t>164</t>
  </si>
  <si>
    <t>903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</si>
</sst>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_р_."/>
    <numFmt numFmtId="172" formatCode="#,##0.000"/>
    <numFmt numFmtId="173" formatCode="#,##0.0"/>
    <numFmt numFmtId="174" formatCode="#,##0.0000000_р_."/>
    <numFmt numFmtId="175" formatCode="0.00000"/>
    <numFmt numFmtId="176" formatCode="#,##0.0000"/>
    <numFmt numFmtId="177" formatCode="#,##0.00000"/>
    <numFmt numFmtId="178" formatCode="#,##0.000000"/>
    <numFmt numFmtId="179" formatCode="000000"/>
  </numFmts>
  <fonts count="14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 vertical="top" wrapText="1"/>
    </xf>
    <xf numFmtId="4" fontId="1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wrapText="1"/>
    </xf>
    <xf numFmtId="4" fontId="7" fillId="0" borderId="0" xfId="15" applyNumberFormat="1" applyFont="1" applyFill="1" applyBorder="1" applyAlignment="1">
      <alignment horizontal="right" wrapText="1"/>
    </xf>
    <xf numFmtId="4" fontId="8" fillId="0" borderId="0" xfId="15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73" fontId="1" fillId="0" borderId="2" xfId="0" applyNumberFormat="1" applyFont="1" applyFill="1" applyBorder="1" applyAlignment="1">
      <alignment horizontal="right" wrapText="1"/>
    </xf>
    <xf numFmtId="173" fontId="1" fillId="0" borderId="2" xfId="0" applyNumberFormat="1" applyFont="1" applyFill="1" applyBorder="1" applyAlignment="1">
      <alignment wrapText="1"/>
    </xf>
    <xf numFmtId="173" fontId="1" fillId="0" borderId="1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1" fillId="0" borderId="1" xfId="15" applyNumberFormat="1" applyFont="1" applyFill="1" applyBorder="1" applyAlignment="1">
      <alignment horizontal="right" wrapText="1"/>
    </xf>
    <xf numFmtId="173" fontId="7" fillId="0" borderId="1" xfId="15" applyNumberFormat="1" applyFont="1" applyFill="1" applyBorder="1" applyAlignment="1">
      <alignment horizontal="right" wrapText="1"/>
    </xf>
    <xf numFmtId="173" fontId="9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right" wrapText="1"/>
    </xf>
    <xf numFmtId="177" fontId="1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77" fontId="1" fillId="0" borderId="0" xfId="15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3" fontId="1" fillId="0" borderId="0" xfId="15" applyNumberFormat="1" applyFont="1" applyFill="1" applyBorder="1" applyAlignment="1">
      <alignment horizontal="right" wrapText="1"/>
    </xf>
    <xf numFmtId="173" fontId="0" fillId="0" borderId="4" xfId="0" applyNumberFormat="1" applyFont="1" applyBorder="1" applyAlignment="1">
      <alignment wrapText="1"/>
    </xf>
    <xf numFmtId="173" fontId="1" fillId="0" borderId="2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/>
    </xf>
    <xf numFmtId="173" fontId="7" fillId="0" borderId="1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3" fontId="12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3" fontId="7" fillId="0" borderId="2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3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right" wrapText="1"/>
    </xf>
    <xf numFmtId="173" fontId="7" fillId="0" borderId="4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/>
    </xf>
    <xf numFmtId="173" fontId="7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3" fontId="1" fillId="0" borderId="6" xfId="0" applyNumberFormat="1" applyFont="1" applyFill="1" applyBorder="1" applyAlignment="1">
      <alignment/>
    </xf>
    <xf numFmtId="173" fontId="7" fillId="0" borderId="6" xfId="0" applyNumberFormat="1" applyFont="1" applyFill="1" applyBorder="1" applyAlignment="1">
      <alignment/>
    </xf>
    <xf numFmtId="173" fontId="7" fillId="0" borderId="1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3" fontId="1" fillId="0" borderId="1" xfId="15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15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73" fontId="1" fillId="0" borderId="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15"/>
  <sheetViews>
    <sheetView zoomScale="75" zoomScaleNormal="75" workbookViewId="0" topLeftCell="A1">
      <pane xSplit="4" ySplit="4" topLeftCell="E1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4" sqref="C114:D114"/>
    </sheetView>
  </sheetViews>
  <sheetFormatPr defaultColWidth="9.00390625" defaultRowHeight="12.75"/>
  <cols>
    <col min="1" max="1" width="6.125" style="33" customWidth="1"/>
    <col min="2" max="2" width="19.125" style="34" customWidth="1"/>
    <col min="3" max="3" width="25.75390625" style="12" customWidth="1"/>
    <col min="4" max="4" width="61.875" style="1" customWidth="1"/>
    <col min="5" max="5" width="17.00390625" style="1" customWidth="1"/>
    <col min="6" max="6" width="17.625" style="1" customWidth="1"/>
    <col min="7" max="7" width="19.125" style="2" customWidth="1"/>
    <col min="8" max="8" width="14.875" style="2" customWidth="1"/>
    <col min="9" max="9" width="16.25390625" style="13" customWidth="1"/>
    <col min="10" max="10" width="14.75390625" style="13" customWidth="1"/>
    <col min="11" max="11" width="14.25390625" style="13" customWidth="1"/>
    <col min="12" max="12" width="11.375" style="13" customWidth="1"/>
    <col min="13" max="16384" width="17.375" style="9" customWidth="1"/>
  </cols>
  <sheetData>
    <row r="1" spans="2:12" ht="20.25">
      <c r="B1" s="126" t="s">
        <v>125</v>
      </c>
      <c r="C1" s="126"/>
      <c r="D1" s="126"/>
      <c r="E1" s="126"/>
      <c r="F1" s="126"/>
      <c r="G1" s="126"/>
      <c r="H1" s="126"/>
      <c r="I1" s="126"/>
      <c r="J1" s="10"/>
      <c r="K1" s="10"/>
      <c r="L1" s="11"/>
    </row>
    <row r="2" spans="8:12" ht="15.75">
      <c r="H2" s="3"/>
      <c r="I2" s="11"/>
      <c r="J2" s="11"/>
      <c r="K2" s="11"/>
      <c r="L2" s="3" t="s">
        <v>0</v>
      </c>
    </row>
    <row r="3" spans="1:12" ht="26.25" customHeight="1">
      <c r="A3" s="127" t="s">
        <v>1</v>
      </c>
      <c r="B3" s="128" t="s">
        <v>2</v>
      </c>
      <c r="C3" s="127" t="s">
        <v>3</v>
      </c>
      <c r="D3" s="128" t="s">
        <v>4</v>
      </c>
      <c r="E3" s="129" t="s">
        <v>126</v>
      </c>
      <c r="F3" s="128" t="s">
        <v>139</v>
      </c>
      <c r="G3" s="128" t="s">
        <v>127</v>
      </c>
      <c r="H3" s="128" t="s">
        <v>148</v>
      </c>
      <c r="I3" s="128" t="s">
        <v>143</v>
      </c>
      <c r="J3" s="124" t="s">
        <v>144</v>
      </c>
      <c r="K3" s="124" t="s">
        <v>5</v>
      </c>
      <c r="L3" s="111" t="s">
        <v>149</v>
      </c>
    </row>
    <row r="4" spans="1:12" ht="51" customHeight="1">
      <c r="A4" s="127"/>
      <c r="B4" s="128"/>
      <c r="C4" s="127"/>
      <c r="D4" s="128"/>
      <c r="E4" s="129"/>
      <c r="F4" s="130"/>
      <c r="G4" s="128"/>
      <c r="H4" s="131"/>
      <c r="I4" s="132"/>
      <c r="J4" s="125"/>
      <c r="K4" s="125"/>
      <c r="L4" s="125"/>
    </row>
    <row r="5" spans="1:12" ht="15.75">
      <c r="A5" s="112" t="s">
        <v>38</v>
      </c>
      <c r="B5" s="113" t="s">
        <v>39</v>
      </c>
      <c r="C5" s="14" t="s">
        <v>40</v>
      </c>
      <c r="D5" s="41" t="s">
        <v>41</v>
      </c>
      <c r="E5" s="67"/>
      <c r="F5" s="53"/>
      <c r="G5" s="68"/>
      <c r="H5" s="53"/>
      <c r="I5" s="74"/>
      <c r="J5" s="54"/>
      <c r="K5" s="53">
        <f>J5-I5</f>
        <v>0</v>
      </c>
      <c r="L5" s="75"/>
    </row>
    <row r="6" spans="1:12" ht="15.75">
      <c r="A6" s="114"/>
      <c r="B6" s="115"/>
      <c r="C6" s="4" t="s">
        <v>36</v>
      </c>
      <c r="D6" s="24" t="s">
        <v>42</v>
      </c>
      <c r="E6" s="55">
        <f>15524.87615+5.12144</f>
        <v>15529.99759</v>
      </c>
      <c r="F6" s="55">
        <v>535769</v>
      </c>
      <c r="G6" s="56">
        <f>44821.42062+141.80102+20</f>
        <v>44983.221639999996</v>
      </c>
      <c r="H6" s="53">
        <f>G6/F6*100</f>
        <v>8.396010526924849</v>
      </c>
      <c r="I6" s="55">
        <v>90000</v>
      </c>
      <c r="J6" s="56">
        <f>44821.42062+141.80102+20</f>
        <v>44983.221639999996</v>
      </c>
      <c r="K6" s="53">
        <f aca="true" t="shared" si="0" ref="K6:K69">J6-I6</f>
        <v>-45016.778360000004</v>
      </c>
      <c r="L6" s="75">
        <f>J6/I6*100</f>
        <v>49.981357377777776</v>
      </c>
    </row>
    <row r="7" spans="1:12" ht="31.5">
      <c r="A7" s="114"/>
      <c r="B7" s="115"/>
      <c r="C7" s="4" t="s">
        <v>43</v>
      </c>
      <c r="D7" s="23" t="s">
        <v>44</v>
      </c>
      <c r="E7" s="55"/>
      <c r="F7" s="55">
        <v>3792.7</v>
      </c>
      <c r="G7" s="56"/>
      <c r="H7" s="53">
        <f>G7/F7*100</f>
        <v>0</v>
      </c>
      <c r="I7" s="55"/>
      <c r="J7" s="56"/>
      <c r="K7" s="53">
        <f t="shared" si="0"/>
        <v>0</v>
      </c>
      <c r="L7" s="75"/>
    </row>
    <row r="8" spans="1:12" ht="15.75">
      <c r="A8" s="114"/>
      <c r="B8" s="115"/>
      <c r="C8" s="4" t="s">
        <v>34</v>
      </c>
      <c r="D8" s="23" t="s">
        <v>45</v>
      </c>
      <c r="E8" s="55">
        <v>346.39247</v>
      </c>
      <c r="F8" s="55"/>
      <c r="G8" s="56"/>
      <c r="H8" s="53"/>
      <c r="I8" s="55"/>
      <c r="J8" s="56"/>
      <c r="K8" s="53">
        <f t="shared" si="0"/>
        <v>0</v>
      </c>
      <c r="L8" s="75"/>
    </row>
    <row r="9" spans="1:12" ht="31.5">
      <c r="A9" s="114"/>
      <c r="B9" s="115"/>
      <c r="C9" s="63" t="s">
        <v>128</v>
      </c>
      <c r="D9" s="64" t="s">
        <v>157</v>
      </c>
      <c r="E9" s="55"/>
      <c r="F9" s="55"/>
      <c r="G9" s="56">
        <f>14.68553+727.76898</f>
        <v>742.45451</v>
      </c>
      <c r="H9" s="53"/>
      <c r="I9" s="55"/>
      <c r="J9" s="56">
        <f>14.68553+727.76898</f>
        <v>742.45451</v>
      </c>
      <c r="K9" s="53">
        <f t="shared" si="0"/>
        <v>742.45451</v>
      </c>
      <c r="L9" s="75"/>
    </row>
    <row r="10" spans="1:12" ht="31.5">
      <c r="A10" s="114"/>
      <c r="B10" s="115"/>
      <c r="C10" s="4" t="s">
        <v>114</v>
      </c>
      <c r="D10" s="25" t="s">
        <v>119</v>
      </c>
      <c r="E10" s="55">
        <v>0.86049</v>
      </c>
      <c r="F10" s="55"/>
      <c r="G10" s="56">
        <v>1.55158</v>
      </c>
      <c r="H10" s="53"/>
      <c r="I10" s="55"/>
      <c r="J10" s="56">
        <v>1.55158</v>
      </c>
      <c r="K10" s="53">
        <f t="shared" si="0"/>
        <v>1.55158</v>
      </c>
      <c r="L10" s="75"/>
    </row>
    <row r="11" spans="1:12" ht="51.75" customHeight="1">
      <c r="A11" s="114"/>
      <c r="B11" s="115"/>
      <c r="C11" s="4" t="s">
        <v>48</v>
      </c>
      <c r="D11" s="23" t="s">
        <v>158</v>
      </c>
      <c r="E11" s="55">
        <v>96515.535</v>
      </c>
      <c r="F11" s="55"/>
      <c r="G11" s="56">
        <v>6600</v>
      </c>
      <c r="H11" s="53"/>
      <c r="I11" s="55"/>
      <c r="J11" s="56">
        <v>6600</v>
      </c>
      <c r="K11" s="53">
        <f t="shared" si="0"/>
        <v>6600</v>
      </c>
      <c r="L11" s="75"/>
    </row>
    <row r="12" spans="1:12" ht="47.25">
      <c r="A12" s="114"/>
      <c r="B12" s="115"/>
      <c r="C12" s="63" t="s">
        <v>131</v>
      </c>
      <c r="D12" s="64" t="s">
        <v>159</v>
      </c>
      <c r="E12" s="55"/>
      <c r="F12" s="55">
        <v>1122450.5</v>
      </c>
      <c r="G12" s="56">
        <v>200</v>
      </c>
      <c r="H12" s="53">
        <f aca="true" t="shared" si="1" ref="H12:H74">G12/F12*100</f>
        <v>0.017818157682677322</v>
      </c>
      <c r="I12" s="55">
        <v>147416</v>
      </c>
      <c r="J12" s="56">
        <v>200</v>
      </c>
      <c r="K12" s="53">
        <f t="shared" si="0"/>
        <v>-147216</v>
      </c>
      <c r="L12" s="75">
        <f aca="true" t="shared" si="2" ref="L12:L65">J12/I12*100</f>
        <v>0.1356704835296033</v>
      </c>
    </row>
    <row r="13" spans="1:12" ht="31.5">
      <c r="A13" s="114"/>
      <c r="B13" s="115"/>
      <c r="C13" s="63" t="s">
        <v>146</v>
      </c>
      <c r="D13" s="64" t="s">
        <v>160</v>
      </c>
      <c r="E13" s="55">
        <v>1516.3</v>
      </c>
      <c r="F13" s="55"/>
      <c r="G13" s="56"/>
      <c r="H13" s="53"/>
      <c r="I13" s="55"/>
      <c r="J13" s="56"/>
      <c r="K13" s="53"/>
      <c r="L13" s="75"/>
    </row>
    <row r="14" spans="1:12" ht="15.75">
      <c r="A14" s="114"/>
      <c r="B14" s="115"/>
      <c r="C14" s="4" t="s">
        <v>77</v>
      </c>
      <c r="D14" s="23" t="s">
        <v>78</v>
      </c>
      <c r="E14" s="55"/>
      <c r="F14" s="55"/>
      <c r="G14" s="55">
        <v>440</v>
      </c>
      <c r="H14" s="53"/>
      <c r="I14" s="55"/>
      <c r="J14" s="55">
        <v>440</v>
      </c>
      <c r="K14" s="53">
        <f t="shared" si="0"/>
        <v>440</v>
      </c>
      <c r="L14" s="75"/>
    </row>
    <row r="15" spans="1:12" ht="15.75">
      <c r="A15" s="114"/>
      <c r="B15" s="115"/>
      <c r="C15" s="4" t="s">
        <v>81</v>
      </c>
      <c r="D15" s="23" t="s">
        <v>82</v>
      </c>
      <c r="E15" s="55">
        <v>10374.04019</v>
      </c>
      <c r="F15" s="55"/>
      <c r="G15" s="55">
        <v>39259.24919</v>
      </c>
      <c r="H15" s="53"/>
      <c r="I15" s="55"/>
      <c r="J15" s="55">
        <v>39259.24919</v>
      </c>
      <c r="K15" s="53">
        <f t="shared" si="0"/>
        <v>39259.24919</v>
      </c>
      <c r="L15" s="75"/>
    </row>
    <row r="16" spans="1:12" ht="15.75">
      <c r="A16" s="114"/>
      <c r="B16" s="115"/>
      <c r="C16" s="4" t="s">
        <v>79</v>
      </c>
      <c r="D16" s="23" t="s">
        <v>117</v>
      </c>
      <c r="E16" s="55"/>
      <c r="F16" s="55"/>
      <c r="G16" s="56"/>
      <c r="H16" s="53" t="e">
        <f t="shared" si="1"/>
        <v>#DIV/0!</v>
      </c>
      <c r="I16" s="55"/>
      <c r="J16" s="56"/>
      <c r="K16" s="53">
        <f t="shared" si="0"/>
        <v>0</v>
      </c>
      <c r="L16" s="75" t="e">
        <f t="shared" si="2"/>
        <v>#DIV/0!</v>
      </c>
    </row>
    <row r="17" spans="1:12" ht="15.75">
      <c r="A17" s="114"/>
      <c r="B17" s="115"/>
      <c r="C17" s="4" t="s">
        <v>83</v>
      </c>
      <c r="D17" s="23" t="s">
        <v>121</v>
      </c>
      <c r="E17" s="55"/>
      <c r="F17" s="55">
        <v>6254.7</v>
      </c>
      <c r="G17" s="56">
        <v>42.10796</v>
      </c>
      <c r="H17" s="53">
        <f t="shared" si="1"/>
        <v>0.6732210977345037</v>
      </c>
      <c r="I17" s="55">
        <v>975.9</v>
      </c>
      <c r="J17" s="56">
        <v>42.10796</v>
      </c>
      <c r="K17" s="53">
        <f t="shared" si="0"/>
        <v>-933.7920399999999</v>
      </c>
      <c r="L17" s="75">
        <f t="shared" si="2"/>
        <v>4.314782252279946</v>
      </c>
    </row>
    <row r="18" spans="1:12" s="16" customFormat="1" ht="15.75">
      <c r="A18" s="115"/>
      <c r="B18" s="115"/>
      <c r="C18" s="15"/>
      <c r="D18" s="26" t="s">
        <v>21</v>
      </c>
      <c r="E18" s="57">
        <f>SUM(E5:E11,E12:E17)</f>
        <v>124283.12574</v>
      </c>
      <c r="F18" s="57">
        <f>SUM(F5:F11,F12:F17)</f>
        <v>1668266.9</v>
      </c>
      <c r="G18" s="57">
        <f>SUM(G5:G11,G12:G17)</f>
        <v>92268.58488</v>
      </c>
      <c r="H18" s="58">
        <f t="shared" si="1"/>
        <v>5.530804745931241</v>
      </c>
      <c r="I18" s="57">
        <f>SUM(I5:I11,I12:I17)</f>
        <v>238391.9</v>
      </c>
      <c r="J18" s="57">
        <f>SUM(J5:J11,J12:J17)</f>
        <v>92268.58488</v>
      </c>
      <c r="K18" s="58">
        <f t="shared" si="0"/>
        <v>-146123.31511999998</v>
      </c>
      <c r="L18" s="76">
        <f t="shared" si="2"/>
        <v>38.70458051636822</v>
      </c>
    </row>
    <row r="19" spans="1:12" ht="15.75">
      <c r="A19" s="114" t="s">
        <v>7</v>
      </c>
      <c r="B19" s="116" t="s">
        <v>8</v>
      </c>
      <c r="C19" s="4" t="s">
        <v>9</v>
      </c>
      <c r="D19" s="23" t="s">
        <v>10</v>
      </c>
      <c r="E19" s="55">
        <v>225856.69867</v>
      </c>
      <c r="F19" s="55">
        <v>5074213.7</v>
      </c>
      <c r="G19" s="56">
        <v>323194.42961</v>
      </c>
      <c r="H19" s="53">
        <f t="shared" si="1"/>
        <v>6.369349986383112</v>
      </c>
      <c r="I19" s="55">
        <v>959180.8</v>
      </c>
      <c r="J19" s="56">
        <v>323194.42961</v>
      </c>
      <c r="K19" s="53">
        <f t="shared" si="0"/>
        <v>-635986.37039</v>
      </c>
      <c r="L19" s="75">
        <f t="shared" si="2"/>
        <v>33.694839347284685</v>
      </c>
    </row>
    <row r="20" spans="1:12" ht="15.75">
      <c r="A20" s="115"/>
      <c r="B20" s="116"/>
      <c r="C20" s="4" t="s">
        <v>11</v>
      </c>
      <c r="D20" s="23" t="s">
        <v>120</v>
      </c>
      <c r="E20" s="55">
        <v>78013.21949</v>
      </c>
      <c r="F20" s="55">
        <v>431806</v>
      </c>
      <c r="G20" s="56">
        <v>80508.90925</v>
      </c>
      <c r="H20" s="53">
        <f t="shared" si="1"/>
        <v>18.64469443453773</v>
      </c>
      <c r="I20" s="55">
        <v>98021</v>
      </c>
      <c r="J20" s="56">
        <v>80508.90925</v>
      </c>
      <c r="K20" s="53">
        <f t="shared" si="0"/>
        <v>-17512.090750000003</v>
      </c>
      <c r="L20" s="75">
        <f t="shared" si="2"/>
        <v>82.13434799685781</v>
      </c>
    </row>
    <row r="21" spans="1:12" ht="15.75">
      <c r="A21" s="115"/>
      <c r="B21" s="116"/>
      <c r="C21" s="4" t="s">
        <v>12</v>
      </c>
      <c r="D21" s="23" t="s">
        <v>13</v>
      </c>
      <c r="E21" s="55"/>
      <c r="F21" s="55">
        <v>1208</v>
      </c>
      <c r="G21" s="56">
        <v>28.87291</v>
      </c>
      <c r="H21" s="53">
        <f t="shared" si="1"/>
        <v>2.390141556291391</v>
      </c>
      <c r="I21" s="77">
        <v>590.02</v>
      </c>
      <c r="J21" s="56">
        <v>28.87291</v>
      </c>
      <c r="K21" s="53">
        <f t="shared" si="0"/>
        <v>-561.1470899999999</v>
      </c>
      <c r="L21" s="75">
        <f t="shared" si="2"/>
        <v>4.893547676349955</v>
      </c>
    </row>
    <row r="22" spans="1:12" ht="15.75">
      <c r="A22" s="115"/>
      <c r="B22" s="116"/>
      <c r="C22" s="4" t="s">
        <v>14</v>
      </c>
      <c r="D22" s="23" t="s">
        <v>15</v>
      </c>
      <c r="E22" s="55">
        <v>2781.5633</v>
      </c>
      <c r="F22" s="55">
        <v>84074</v>
      </c>
      <c r="G22" s="56">
        <v>9327.78099</v>
      </c>
      <c r="H22" s="53">
        <f t="shared" si="1"/>
        <v>11.094727252182599</v>
      </c>
      <c r="I22" s="55">
        <v>6178</v>
      </c>
      <c r="J22" s="56">
        <v>9327.78099</v>
      </c>
      <c r="K22" s="53">
        <f t="shared" si="0"/>
        <v>3149.7809899999993</v>
      </c>
      <c r="L22" s="75">
        <f t="shared" si="2"/>
        <v>150.98382955649078</v>
      </c>
    </row>
    <row r="23" spans="1:12" ht="15.75">
      <c r="A23" s="115"/>
      <c r="B23" s="116"/>
      <c r="C23" s="4" t="s">
        <v>16</v>
      </c>
      <c r="D23" s="23" t="s">
        <v>17</v>
      </c>
      <c r="E23" s="55">
        <v>80404.75852</v>
      </c>
      <c r="F23" s="55">
        <v>2131261</v>
      </c>
      <c r="G23" s="56">
        <v>118985.13405</v>
      </c>
      <c r="H23" s="53">
        <f t="shared" si="1"/>
        <v>5.58285137531255</v>
      </c>
      <c r="I23" s="55">
        <f>7352.9+463264</f>
        <v>470616.9</v>
      </c>
      <c r="J23" s="56">
        <v>118985.13405</v>
      </c>
      <c r="K23" s="53">
        <f t="shared" si="0"/>
        <v>-351631.76595000003</v>
      </c>
      <c r="L23" s="75">
        <f t="shared" si="2"/>
        <v>25.282800947012312</v>
      </c>
    </row>
    <row r="24" spans="1:12" ht="15.75">
      <c r="A24" s="115"/>
      <c r="B24" s="116"/>
      <c r="C24" s="4" t="s">
        <v>115</v>
      </c>
      <c r="D24" s="23" t="s">
        <v>18</v>
      </c>
      <c r="E24" s="55">
        <v>1604.36073</v>
      </c>
      <c r="F24" s="55">
        <v>35895</v>
      </c>
      <c r="G24" s="56">
        <v>2215.81313</v>
      </c>
      <c r="H24" s="53">
        <f t="shared" si="1"/>
        <v>6.173041175651204</v>
      </c>
      <c r="I24" s="55">
        <v>7116</v>
      </c>
      <c r="J24" s="56">
        <v>2215.81313</v>
      </c>
      <c r="K24" s="53">
        <f t="shared" si="0"/>
        <v>-4900.1868699999995</v>
      </c>
      <c r="L24" s="75">
        <f t="shared" si="2"/>
        <v>31.138464446318153</v>
      </c>
    </row>
    <row r="25" spans="1:12" ht="15.75">
      <c r="A25" s="115"/>
      <c r="B25" s="116"/>
      <c r="C25" s="4" t="s">
        <v>19</v>
      </c>
      <c r="D25" s="23" t="s">
        <v>20</v>
      </c>
      <c r="E25" s="55">
        <v>141.72371</v>
      </c>
      <c r="F25" s="55"/>
      <c r="G25" s="56">
        <v>10680.77949</v>
      </c>
      <c r="H25" s="53"/>
      <c r="I25" s="55"/>
      <c r="J25" s="56">
        <v>10680.77949</v>
      </c>
      <c r="K25" s="53">
        <f t="shared" si="0"/>
        <v>10680.77949</v>
      </c>
      <c r="L25" s="75"/>
    </row>
    <row r="26" spans="1:12" ht="15.75">
      <c r="A26" s="115"/>
      <c r="B26" s="116"/>
      <c r="C26" s="4" t="s">
        <v>77</v>
      </c>
      <c r="D26" s="23" t="s">
        <v>78</v>
      </c>
      <c r="E26" s="59">
        <f>75.05731+22.67834+398.11802+70.7126+5.8</f>
        <v>572.3662699999999</v>
      </c>
      <c r="F26" s="55">
        <v>10841</v>
      </c>
      <c r="G26" s="55">
        <v>1012.6135</v>
      </c>
      <c r="H26" s="53">
        <f t="shared" si="1"/>
        <v>9.340591273867725</v>
      </c>
      <c r="I26" s="55">
        <v>2020.44</v>
      </c>
      <c r="J26" s="55">
        <v>1012.6135</v>
      </c>
      <c r="K26" s="53">
        <f t="shared" si="0"/>
        <v>-1007.8265</v>
      </c>
      <c r="L26" s="75">
        <f t="shared" si="2"/>
        <v>50.11846429490606</v>
      </c>
    </row>
    <row r="27" spans="1:12" s="16" customFormat="1" ht="15.75">
      <c r="A27" s="115"/>
      <c r="B27" s="116"/>
      <c r="C27" s="22"/>
      <c r="D27" s="26" t="s">
        <v>21</v>
      </c>
      <c r="E27" s="57">
        <f>SUM(E19:E26)</f>
        <v>389374.69068999996</v>
      </c>
      <c r="F27" s="57">
        <f>SUM(F19:F26)</f>
        <v>7769298.7</v>
      </c>
      <c r="G27" s="57">
        <f>SUM(G19:G26)</f>
        <v>545954.33293</v>
      </c>
      <c r="H27" s="58">
        <f t="shared" si="1"/>
        <v>7.027073536637225</v>
      </c>
      <c r="I27" s="57">
        <f>SUM(I19:I26)</f>
        <v>1543723.1600000001</v>
      </c>
      <c r="J27" s="57">
        <f>SUM(J19:J26)</f>
        <v>545954.33293</v>
      </c>
      <c r="K27" s="58">
        <f t="shared" si="0"/>
        <v>-997768.8270700001</v>
      </c>
      <c r="L27" s="76">
        <f t="shared" si="2"/>
        <v>35.3660777447946</v>
      </c>
    </row>
    <row r="28" spans="1:12" ht="15.75">
      <c r="A28" s="122" t="s">
        <v>22</v>
      </c>
      <c r="B28" s="116" t="s">
        <v>23</v>
      </c>
      <c r="C28" s="4" t="s">
        <v>24</v>
      </c>
      <c r="D28" s="23" t="s">
        <v>25</v>
      </c>
      <c r="E28" s="55">
        <v>4983.97921</v>
      </c>
      <c r="F28" s="55">
        <v>107932</v>
      </c>
      <c r="G28" s="56">
        <f>6040.84142+0.72+0.19</f>
        <v>6041.75142</v>
      </c>
      <c r="H28" s="53">
        <f t="shared" si="1"/>
        <v>5.597738779972575</v>
      </c>
      <c r="I28" s="55">
        <v>18234</v>
      </c>
      <c r="J28" s="56">
        <f>6040.84142+0.72+0.19</f>
        <v>6041.75142</v>
      </c>
      <c r="K28" s="53">
        <f t="shared" si="0"/>
        <v>-12192.24858</v>
      </c>
      <c r="L28" s="75">
        <f t="shared" si="2"/>
        <v>33.13453668970055</v>
      </c>
    </row>
    <row r="29" spans="1:12" ht="31.5">
      <c r="A29" s="122"/>
      <c r="B29" s="116"/>
      <c r="C29" s="4" t="s">
        <v>114</v>
      </c>
      <c r="D29" s="25" t="s">
        <v>119</v>
      </c>
      <c r="E29" s="59"/>
      <c r="F29" s="55"/>
      <c r="G29" s="56"/>
      <c r="H29" s="53" t="e">
        <f t="shared" si="1"/>
        <v>#DIV/0!</v>
      </c>
      <c r="I29" s="55"/>
      <c r="J29" s="56"/>
      <c r="K29" s="53">
        <f t="shared" si="0"/>
        <v>0</v>
      </c>
      <c r="L29" s="75" t="e">
        <f t="shared" si="2"/>
        <v>#DIV/0!</v>
      </c>
    </row>
    <row r="30" spans="1:12" ht="15.75">
      <c r="A30" s="122"/>
      <c r="B30" s="116"/>
      <c r="C30" s="4" t="s">
        <v>77</v>
      </c>
      <c r="D30" s="23" t="s">
        <v>78</v>
      </c>
      <c r="E30" s="59">
        <f>20.75+11+1633.74574+217.54554</f>
        <v>1883.0412800000001</v>
      </c>
      <c r="F30" s="55">
        <v>66043.5</v>
      </c>
      <c r="G30" s="56">
        <v>3712.27529</v>
      </c>
      <c r="H30" s="53">
        <f t="shared" si="1"/>
        <v>5.620954810087291</v>
      </c>
      <c r="I30" s="55">
        <v>10491.925</v>
      </c>
      <c r="J30" s="56">
        <v>3712.27529</v>
      </c>
      <c r="K30" s="53">
        <f t="shared" si="0"/>
        <v>-6779.64971</v>
      </c>
      <c r="L30" s="75">
        <f t="shared" si="2"/>
        <v>35.38221336885272</v>
      </c>
    </row>
    <row r="31" spans="1:12" ht="15.75">
      <c r="A31" s="122"/>
      <c r="B31" s="116"/>
      <c r="C31" s="4" t="s">
        <v>79</v>
      </c>
      <c r="D31" s="23" t="s">
        <v>117</v>
      </c>
      <c r="E31" s="59"/>
      <c r="F31" s="55"/>
      <c r="G31" s="55"/>
      <c r="H31" s="53" t="e">
        <f t="shared" si="1"/>
        <v>#DIV/0!</v>
      </c>
      <c r="I31" s="55"/>
      <c r="J31" s="55"/>
      <c r="K31" s="53">
        <f t="shared" si="0"/>
        <v>0</v>
      </c>
      <c r="L31" s="75" t="e">
        <f t="shared" si="2"/>
        <v>#DIV/0!</v>
      </c>
    </row>
    <row r="32" spans="1:12" ht="15.75">
      <c r="A32" s="122"/>
      <c r="B32" s="116"/>
      <c r="C32" s="4" t="s">
        <v>96</v>
      </c>
      <c r="D32" s="64" t="s">
        <v>141</v>
      </c>
      <c r="E32" s="59"/>
      <c r="F32" s="55">
        <v>205783.6</v>
      </c>
      <c r="G32" s="55"/>
      <c r="H32" s="53">
        <f t="shared" si="1"/>
        <v>0</v>
      </c>
      <c r="I32" s="55">
        <f>39023.3+10643.225</f>
        <v>49666.525</v>
      </c>
      <c r="J32" s="55"/>
      <c r="K32" s="53">
        <f t="shared" si="0"/>
        <v>-49666.525</v>
      </c>
      <c r="L32" s="75">
        <f t="shared" si="2"/>
        <v>0</v>
      </c>
    </row>
    <row r="33" spans="1:12" ht="15.75">
      <c r="A33" s="122"/>
      <c r="B33" s="116"/>
      <c r="C33" s="4" t="s">
        <v>83</v>
      </c>
      <c r="D33" s="23" t="s">
        <v>121</v>
      </c>
      <c r="E33" s="55"/>
      <c r="F33" s="55"/>
      <c r="G33" s="55"/>
      <c r="H33" s="53" t="e">
        <f t="shared" si="1"/>
        <v>#DIV/0!</v>
      </c>
      <c r="I33" s="55"/>
      <c r="J33" s="55"/>
      <c r="K33" s="53">
        <f t="shared" si="0"/>
        <v>0</v>
      </c>
      <c r="L33" s="75" t="e">
        <f t="shared" si="2"/>
        <v>#DIV/0!</v>
      </c>
    </row>
    <row r="34" spans="1:12" s="16" customFormat="1" ht="15.75">
      <c r="A34" s="119"/>
      <c r="B34" s="119"/>
      <c r="C34" s="42"/>
      <c r="D34" s="26" t="s">
        <v>21</v>
      </c>
      <c r="E34" s="57">
        <f>SUM(E28:E33)</f>
        <v>6867.020490000001</v>
      </c>
      <c r="F34" s="57">
        <f>SUM(F28:F33)</f>
        <v>379759.1</v>
      </c>
      <c r="G34" s="57">
        <f>SUM(G28:G33)</f>
        <v>9754.02671</v>
      </c>
      <c r="H34" s="58">
        <f t="shared" si="1"/>
        <v>2.5684774137077953</v>
      </c>
      <c r="I34" s="57">
        <f>SUM(I28:I33)</f>
        <v>78392.45</v>
      </c>
      <c r="J34" s="57">
        <f>SUM(J28:J33)</f>
        <v>9754.02671</v>
      </c>
      <c r="K34" s="58">
        <f t="shared" si="0"/>
        <v>-68638.42328999999</v>
      </c>
      <c r="L34" s="76">
        <f t="shared" si="2"/>
        <v>12.442558830601671</v>
      </c>
    </row>
    <row r="35" spans="1:12" ht="31.5">
      <c r="A35" s="122" t="s">
        <v>26</v>
      </c>
      <c r="B35" s="116" t="s">
        <v>27</v>
      </c>
      <c r="C35" s="4" t="s">
        <v>116</v>
      </c>
      <c r="D35" s="23" t="s">
        <v>28</v>
      </c>
      <c r="E35" s="55">
        <v>22.53</v>
      </c>
      <c r="F35" s="55">
        <v>198</v>
      </c>
      <c r="G35" s="56">
        <v>73</v>
      </c>
      <c r="H35" s="53">
        <f t="shared" si="1"/>
        <v>36.868686868686865</v>
      </c>
      <c r="I35" s="55">
        <v>23</v>
      </c>
      <c r="J35" s="56">
        <v>73</v>
      </c>
      <c r="K35" s="53">
        <f t="shared" si="0"/>
        <v>50</v>
      </c>
      <c r="L35" s="75">
        <f t="shared" si="2"/>
        <v>317.39130434782606</v>
      </c>
    </row>
    <row r="36" spans="1:12" ht="15.75">
      <c r="A36" s="122"/>
      <c r="B36" s="116"/>
      <c r="C36" s="4" t="s">
        <v>77</v>
      </c>
      <c r="D36" s="23" t="s">
        <v>78</v>
      </c>
      <c r="E36" s="59">
        <v>7.1</v>
      </c>
      <c r="F36" s="55">
        <v>80</v>
      </c>
      <c r="G36" s="56">
        <v>7.8</v>
      </c>
      <c r="H36" s="53">
        <f t="shared" si="1"/>
        <v>9.75</v>
      </c>
      <c r="I36" s="55">
        <v>13.6</v>
      </c>
      <c r="J36" s="56">
        <v>7.8</v>
      </c>
      <c r="K36" s="53">
        <f t="shared" si="0"/>
        <v>-5.8</v>
      </c>
      <c r="L36" s="75">
        <f t="shared" si="2"/>
        <v>57.35294117647059</v>
      </c>
    </row>
    <row r="37" spans="1:12" s="16" customFormat="1" ht="15.75">
      <c r="A37" s="119"/>
      <c r="B37" s="119"/>
      <c r="C37" s="42"/>
      <c r="D37" s="26" t="s">
        <v>21</v>
      </c>
      <c r="E37" s="57">
        <f>SUM(E35:E36)</f>
        <v>29.630000000000003</v>
      </c>
      <c r="F37" s="57">
        <f>SUM(F35:F36)</f>
        <v>278</v>
      </c>
      <c r="G37" s="57">
        <f>SUM(G35:G36)</f>
        <v>80.8</v>
      </c>
      <c r="H37" s="58">
        <f t="shared" si="1"/>
        <v>29.06474820143885</v>
      </c>
      <c r="I37" s="57">
        <f>SUM(I35:I36)</f>
        <v>36.6</v>
      </c>
      <c r="J37" s="57">
        <f>SUM(J35:J36)</f>
        <v>80.8</v>
      </c>
      <c r="K37" s="58">
        <f t="shared" si="0"/>
        <v>44.199999999999996</v>
      </c>
      <c r="L37" s="76">
        <f t="shared" si="2"/>
        <v>220.76502732240436</v>
      </c>
    </row>
    <row r="38" spans="1:13" ht="15.75">
      <c r="A38" s="114" t="s">
        <v>62</v>
      </c>
      <c r="B38" s="116" t="s">
        <v>63</v>
      </c>
      <c r="C38" s="4" t="s">
        <v>64</v>
      </c>
      <c r="D38" s="23" t="s">
        <v>65</v>
      </c>
      <c r="E38" s="59">
        <v>2216.13963</v>
      </c>
      <c r="F38" s="55">
        <v>18726.9</v>
      </c>
      <c r="G38" s="56">
        <v>2490.14193</v>
      </c>
      <c r="H38" s="53">
        <f t="shared" si="1"/>
        <v>13.297139035291478</v>
      </c>
      <c r="I38" s="55">
        <v>5093.7</v>
      </c>
      <c r="J38" s="56">
        <v>2490.14193</v>
      </c>
      <c r="K38" s="53">
        <f t="shared" si="0"/>
        <v>-2603.55807</v>
      </c>
      <c r="L38" s="75">
        <f t="shared" si="2"/>
        <v>48.88670180811591</v>
      </c>
      <c r="M38" s="37"/>
    </row>
    <row r="39" spans="1:13" ht="15.75">
      <c r="A39" s="114"/>
      <c r="B39" s="116"/>
      <c r="C39" s="4" t="s">
        <v>77</v>
      </c>
      <c r="D39" s="23" t="s">
        <v>78</v>
      </c>
      <c r="E39" s="59">
        <f>15+138.5+55.5</f>
        <v>209</v>
      </c>
      <c r="F39" s="55">
        <v>825</v>
      </c>
      <c r="G39" s="56">
        <v>353.96334</v>
      </c>
      <c r="H39" s="53">
        <f t="shared" si="1"/>
        <v>42.904647272727274</v>
      </c>
      <c r="I39" s="55"/>
      <c r="J39" s="56">
        <v>353.96334</v>
      </c>
      <c r="K39" s="53">
        <f t="shared" si="0"/>
        <v>353.96334</v>
      </c>
      <c r="L39" s="75"/>
      <c r="M39" s="37"/>
    </row>
    <row r="40" spans="1:12" s="16" customFormat="1" ht="15.75">
      <c r="A40" s="114"/>
      <c r="B40" s="115"/>
      <c r="C40" s="15"/>
      <c r="D40" s="26" t="s">
        <v>21</v>
      </c>
      <c r="E40" s="57">
        <f>SUM(E38:E39)</f>
        <v>2425.13963</v>
      </c>
      <c r="F40" s="57">
        <f>SUM(F38:F39)</f>
        <v>19551.9</v>
      </c>
      <c r="G40" s="57">
        <f>SUM(G38:G39)</f>
        <v>2844.10527</v>
      </c>
      <c r="H40" s="58">
        <f t="shared" si="1"/>
        <v>14.546439323032542</v>
      </c>
      <c r="I40" s="57">
        <f>SUM(I38:I39)</f>
        <v>5093.7</v>
      </c>
      <c r="J40" s="57">
        <f>SUM(J38:J39)</f>
        <v>2844.10527</v>
      </c>
      <c r="K40" s="58">
        <f t="shared" si="0"/>
        <v>-2249.59473</v>
      </c>
      <c r="L40" s="76">
        <f t="shared" si="2"/>
        <v>55.83574356558102</v>
      </c>
    </row>
    <row r="41" spans="1:12" ht="31.5">
      <c r="A41" s="114" t="s">
        <v>68</v>
      </c>
      <c r="B41" s="116" t="s">
        <v>69</v>
      </c>
      <c r="C41" s="4" t="s">
        <v>70</v>
      </c>
      <c r="D41" s="23" t="s">
        <v>71</v>
      </c>
      <c r="E41" s="55"/>
      <c r="F41" s="55"/>
      <c r="G41" s="56"/>
      <c r="H41" s="53" t="e">
        <f t="shared" si="1"/>
        <v>#DIV/0!</v>
      </c>
      <c r="I41" s="55"/>
      <c r="J41" s="56"/>
      <c r="K41" s="53">
        <f t="shared" si="0"/>
        <v>0</v>
      </c>
      <c r="L41" s="75" t="e">
        <f t="shared" si="2"/>
        <v>#DIV/0!</v>
      </c>
    </row>
    <row r="42" spans="1:12" ht="31.5">
      <c r="A42" s="114"/>
      <c r="B42" s="116"/>
      <c r="C42" s="4" t="s">
        <v>114</v>
      </c>
      <c r="D42" s="25" t="s">
        <v>119</v>
      </c>
      <c r="E42" s="55"/>
      <c r="F42" s="55"/>
      <c r="G42" s="56"/>
      <c r="H42" s="53" t="e">
        <f t="shared" si="1"/>
        <v>#DIV/0!</v>
      </c>
      <c r="I42" s="55"/>
      <c r="J42" s="56"/>
      <c r="K42" s="53">
        <f t="shared" si="0"/>
        <v>0</v>
      </c>
      <c r="L42" s="75" t="e">
        <f t="shared" si="2"/>
        <v>#DIV/0!</v>
      </c>
    </row>
    <row r="43" spans="1:12" ht="15.75">
      <c r="A43" s="114"/>
      <c r="B43" s="116"/>
      <c r="C43" s="4" t="s">
        <v>77</v>
      </c>
      <c r="D43" s="23" t="s">
        <v>78</v>
      </c>
      <c r="E43" s="55">
        <f>123.96</f>
        <v>123.96</v>
      </c>
      <c r="F43" s="55">
        <v>3000</v>
      </c>
      <c r="G43" s="56">
        <v>78.847</v>
      </c>
      <c r="H43" s="53">
        <f t="shared" si="1"/>
        <v>2.628233333333333</v>
      </c>
      <c r="I43" s="55">
        <v>500</v>
      </c>
      <c r="J43" s="56">
        <v>78.847</v>
      </c>
      <c r="K43" s="53">
        <f t="shared" si="0"/>
        <v>-421.153</v>
      </c>
      <c r="L43" s="75">
        <f t="shared" si="2"/>
        <v>15.769400000000001</v>
      </c>
    </row>
    <row r="44" spans="1:12" ht="15.75">
      <c r="A44" s="114"/>
      <c r="B44" s="116"/>
      <c r="C44" s="4" t="s">
        <v>81</v>
      </c>
      <c r="D44" s="23" t="s">
        <v>82</v>
      </c>
      <c r="E44" s="55">
        <f>970.11877</f>
        <v>970.11877</v>
      </c>
      <c r="F44" s="55"/>
      <c r="G44" s="56">
        <v>4709.65295</v>
      </c>
      <c r="H44" s="53"/>
      <c r="I44" s="55"/>
      <c r="J44" s="56">
        <v>4709.65295</v>
      </c>
      <c r="K44" s="53">
        <f t="shared" si="0"/>
        <v>4709.65295</v>
      </c>
      <c r="L44" s="75"/>
    </row>
    <row r="45" spans="1:12" ht="15.75">
      <c r="A45" s="114"/>
      <c r="B45" s="116"/>
      <c r="C45" s="4" t="s">
        <v>79</v>
      </c>
      <c r="D45" s="23" t="s">
        <v>117</v>
      </c>
      <c r="E45" s="55"/>
      <c r="F45" s="55"/>
      <c r="G45" s="56"/>
      <c r="H45" s="53" t="e">
        <f t="shared" si="1"/>
        <v>#DIV/0!</v>
      </c>
      <c r="I45" s="55"/>
      <c r="J45" s="56"/>
      <c r="K45" s="53">
        <f t="shared" si="0"/>
        <v>0</v>
      </c>
      <c r="L45" s="75" t="e">
        <f t="shared" si="2"/>
        <v>#DIV/0!</v>
      </c>
    </row>
    <row r="46" spans="1:12" ht="31.5">
      <c r="A46" s="115"/>
      <c r="B46" s="115"/>
      <c r="C46" s="4" t="s">
        <v>72</v>
      </c>
      <c r="D46" s="23" t="s">
        <v>73</v>
      </c>
      <c r="E46" s="55"/>
      <c r="F46" s="55"/>
      <c r="G46" s="56"/>
      <c r="H46" s="53" t="e">
        <f t="shared" si="1"/>
        <v>#DIV/0!</v>
      </c>
      <c r="I46" s="55"/>
      <c r="J46" s="56"/>
      <c r="K46" s="53">
        <f t="shared" si="0"/>
        <v>0</v>
      </c>
      <c r="L46" s="75" t="e">
        <f t="shared" si="2"/>
        <v>#DIV/0!</v>
      </c>
    </row>
    <row r="47" spans="1:12" ht="15.75">
      <c r="A47" s="115"/>
      <c r="B47" s="115"/>
      <c r="C47" s="4" t="s">
        <v>74</v>
      </c>
      <c r="D47" s="23" t="s">
        <v>75</v>
      </c>
      <c r="E47" s="55"/>
      <c r="F47" s="55"/>
      <c r="G47" s="56"/>
      <c r="H47" s="53" t="e">
        <f t="shared" si="1"/>
        <v>#DIV/0!</v>
      </c>
      <c r="I47" s="55"/>
      <c r="J47" s="56"/>
      <c r="K47" s="53">
        <f t="shared" si="0"/>
        <v>0</v>
      </c>
      <c r="L47" s="75" t="e">
        <f t="shared" si="2"/>
        <v>#DIV/0!</v>
      </c>
    </row>
    <row r="48" spans="1:12" ht="32.25" customHeight="1">
      <c r="A48" s="119"/>
      <c r="B48" s="119"/>
      <c r="C48" s="4" t="s">
        <v>86</v>
      </c>
      <c r="D48" s="23" t="s">
        <v>150</v>
      </c>
      <c r="E48" s="55">
        <v>4927.26</v>
      </c>
      <c r="F48" s="55">
        <v>67236</v>
      </c>
      <c r="G48" s="56">
        <v>6723.6</v>
      </c>
      <c r="H48" s="53">
        <f t="shared" si="1"/>
        <v>10</v>
      </c>
      <c r="I48" s="55">
        <v>16809</v>
      </c>
      <c r="J48" s="56">
        <v>6723.6</v>
      </c>
      <c r="K48" s="53">
        <f t="shared" si="0"/>
        <v>-10085.4</v>
      </c>
      <c r="L48" s="75">
        <f t="shared" si="2"/>
        <v>40</v>
      </c>
    </row>
    <row r="49" spans="1:12" ht="31.5">
      <c r="A49" s="119"/>
      <c r="B49" s="119"/>
      <c r="C49" s="4" t="s">
        <v>87</v>
      </c>
      <c r="D49" s="23" t="s">
        <v>122</v>
      </c>
      <c r="E49" s="55"/>
      <c r="F49" s="55"/>
      <c r="G49" s="56"/>
      <c r="H49" s="53" t="e">
        <f t="shared" si="1"/>
        <v>#DIV/0!</v>
      </c>
      <c r="I49" s="55"/>
      <c r="J49" s="56"/>
      <c r="K49" s="53">
        <f t="shared" si="0"/>
        <v>0</v>
      </c>
      <c r="L49" s="75" t="e">
        <f t="shared" si="2"/>
        <v>#DIV/0!</v>
      </c>
    </row>
    <row r="50" spans="1:12" ht="15.75">
      <c r="A50" s="119"/>
      <c r="B50" s="119"/>
      <c r="C50" s="4" t="s">
        <v>142</v>
      </c>
      <c r="D50" s="23" t="s">
        <v>151</v>
      </c>
      <c r="E50" s="55">
        <v>202784.727</v>
      </c>
      <c r="F50" s="55"/>
      <c r="G50" s="56"/>
      <c r="H50" s="53"/>
      <c r="I50" s="55"/>
      <c r="J50" s="56"/>
      <c r="K50" s="53">
        <f t="shared" si="0"/>
        <v>0</v>
      </c>
      <c r="L50" s="75"/>
    </row>
    <row r="51" spans="1:12" ht="31.5">
      <c r="A51" s="119"/>
      <c r="B51" s="119"/>
      <c r="C51" s="4" t="s">
        <v>113</v>
      </c>
      <c r="D51" s="39" t="s">
        <v>112</v>
      </c>
      <c r="E51" s="55"/>
      <c r="F51" s="55"/>
      <c r="G51" s="56"/>
      <c r="H51" s="53" t="e">
        <f t="shared" si="1"/>
        <v>#DIV/0!</v>
      </c>
      <c r="I51" s="55"/>
      <c r="J51" s="56"/>
      <c r="K51" s="53">
        <f t="shared" si="0"/>
        <v>0</v>
      </c>
      <c r="L51" s="75" t="e">
        <f t="shared" si="2"/>
        <v>#DIV/0!</v>
      </c>
    </row>
    <row r="52" spans="1:12" s="16" customFormat="1" ht="15.75">
      <c r="A52" s="119"/>
      <c r="B52" s="119"/>
      <c r="C52" s="22"/>
      <c r="D52" s="26" t="s">
        <v>21</v>
      </c>
      <c r="E52" s="57">
        <f>SUM(E41:E51)</f>
        <v>208806.06577000002</v>
      </c>
      <c r="F52" s="57">
        <f>SUM(F41:F51)</f>
        <v>70236</v>
      </c>
      <c r="G52" s="57">
        <f>SUM(G41:G51)</f>
        <v>11512.09995</v>
      </c>
      <c r="H52" s="58">
        <f t="shared" si="1"/>
        <v>16.39059734324278</v>
      </c>
      <c r="I52" s="57">
        <f>SUM(I41:I51)</f>
        <v>17309</v>
      </c>
      <c r="J52" s="57">
        <f>SUM(J41:J51)</f>
        <v>11512.09995</v>
      </c>
      <c r="K52" s="58">
        <f t="shared" si="0"/>
        <v>-5796.90005</v>
      </c>
      <c r="L52" s="76">
        <f t="shared" si="2"/>
        <v>66.50933011728003</v>
      </c>
    </row>
    <row r="53" spans="1:12" ht="63">
      <c r="A53" s="114" t="s">
        <v>55</v>
      </c>
      <c r="B53" s="116" t="s">
        <v>56</v>
      </c>
      <c r="C53" s="63" t="s">
        <v>132</v>
      </c>
      <c r="D53" s="65" t="s">
        <v>161</v>
      </c>
      <c r="E53" s="55"/>
      <c r="F53" s="55">
        <v>461956</v>
      </c>
      <c r="G53" s="56"/>
      <c r="H53" s="53">
        <f t="shared" si="1"/>
        <v>0</v>
      </c>
      <c r="I53" s="59">
        <v>228624.8</v>
      </c>
      <c r="J53" s="56"/>
      <c r="K53" s="53">
        <f t="shared" si="0"/>
        <v>-228624.8</v>
      </c>
      <c r="L53" s="75">
        <f t="shared" si="2"/>
        <v>0</v>
      </c>
    </row>
    <row r="54" spans="1:12" ht="31.5">
      <c r="A54" s="114"/>
      <c r="B54" s="115"/>
      <c r="C54" s="4" t="s">
        <v>114</v>
      </c>
      <c r="D54" s="25" t="s">
        <v>119</v>
      </c>
      <c r="E54" s="59"/>
      <c r="F54" s="59"/>
      <c r="G54" s="55"/>
      <c r="H54" s="53" t="e">
        <f t="shared" si="1"/>
        <v>#DIV/0!</v>
      </c>
      <c r="I54" s="59"/>
      <c r="J54" s="55"/>
      <c r="K54" s="53">
        <f t="shared" si="0"/>
        <v>0</v>
      </c>
      <c r="L54" s="75" t="e">
        <f t="shared" si="2"/>
        <v>#DIV/0!</v>
      </c>
    </row>
    <row r="55" spans="1:12" ht="56.25" customHeight="1">
      <c r="A55" s="114"/>
      <c r="B55" s="115"/>
      <c r="C55" s="63" t="s">
        <v>134</v>
      </c>
      <c r="D55" s="64" t="s">
        <v>135</v>
      </c>
      <c r="E55" s="59"/>
      <c r="F55" s="59">
        <v>283980</v>
      </c>
      <c r="G55" s="55"/>
      <c r="H55" s="53">
        <f t="shared" si="1"/>
        <v>0</v>
      </c>
      <c r="I55" s="59">
        <v>42214.4</v>
      </c>
      <c r="J55" s="55"/>
      <c r="K55" s="53">
        <f t="shared" si="0"/>
        <v>-42214.4</v>
      </c>
      <c r="L55" s="75">
        <f t="shared" si="2"/>
        <v>0</v>
      </c>
    </row>
    <row r="56" spans="1:12" ht="15.75">
      <c r="A56" s="114"/>
      <c r="B56" s="115"/>
      <c r="C56" s="4" t="s">
        <v>81</v>
      </c>
      <c r="D56" s="23" t="s">
        <v>82</v>
      </c>
      <c r="E56" s="59">
        <v>7384.55</v>
      </c>
      <c r="F56" s="59"/>
      <c r="G56" s="55"/>
      <c r="H56" s="53"/>
      <c r="I56" s="59"/>
      <c r="J56" s="55"/>
      <c r="K56" s="53">
        <f t="shared" si="0"/>
        <v>0</v>
      </c>
      <c r="L56" s="75"/>
    </row>
    <row r="57" spans="1:12" ht="15.75">
      <c r="A57" s="114"/>
      <c r="B57" s="115"/>
      <c r="C57" s="4" t="s">
        <v>57</v>
      </c>
      <c r="D57" s="23" t="s">
        <v>58</v>
      </c>
      <c r="E57" s="59">
        <v>957</v>
      </c>
      <c r="F57" s="59"/>
      <c r="G57" s="56"/>
      <c r="H57" s="53"/>
      <c r="I57" s="55"/>
      <c r="J57" s="56"/>
      <c r="K57" s="53">
        <f t="shared" si="0"/>
        <v>0</v>
      </c>
      <c r="L57" s="75"/>
    </row>
    <row r="58" spans="1:12" ht="15.75">
      <c r="A58" s="114"/>
      <c r="B58" s="115"/>
      <c r="C58" s="4" t="s">
        <v>83</v>
      </c>
      <c r="D58" s="23" t="s">
        <v>121</v>
      </c>
      <c r="E58" s="59"/>
      <c r="F58" s="59">
        <v>4455</v>
      </c>
      <c r="G58" s="55"/>
      <c r="H58" s="53">
        <f t="shared" si="1"/>
        <v>0</v>
      </c>
      <c r="I58" s="55">
        <v>800</v>
      </c>
      <c r="J58" s="55"/>
      <c r="K58" s="53">
        <f t="shared" si="0"/>
        <v>-800</v>
      </c>
      <c r="L58" s="75">
        <f t="shared" si="2"/>
        <v>0</v>
      </c>
    </row>
    <row r="59" spans="1:12" s="16" customFormat="1" ht="15.75">
      <c r="A59" s="115"/>
      <c r="B59" s="115"/>
      <c r="C59" s="32"/>
      <c r="D59" s="26" t="s">
        <v>21</v>
      </c>
      <c r="E59" s="57">
        <f>SUM(E53:E53,E54:E58)</f>
        <v>8341.55</v>
      </c>
      <c r="F59" s="57">
        <f>SUM(F53:F53,F54:F58)</f>
        <v>750391</v>
      </c>
      <c r="G59" s="57">
        <f>SUM(G53:G53,G54:G58)</f>
        <v>0</v>
      </c>
      <c r="H59" s="58">
        <f t="shared" si="1"/>
        <v>0</v>
      </c>
      <c r="I59" s="57">
        <f>SUM(I53:I53,I54:I58)</f>
        <v>271639.2</v>
      </c>
      <c r="J59" s="57">
        <f>SUM(J53:J53,J54:J58)</f>
        <v>0</v>
      </c>
      <c r="K59" s="58">
        <f t="shared" si="0"/>
        <v>-271639.2</v>
      </c>
      <c r="L59" s="76">
        <f t="shared" si="2"/>
        <v>0</v>
      </c>
    </row>
    <row r="60" spans="1:12" ht="31.5">
      <c r="A60" s="122" t="s">
        <v>97</v>
      </c>
      <c r="B60" s="116" t="s">
        <v>98</v>
      </c>
      <c r="C60" s="4" t="s">
        <v>114</v>
      </c>
      <c r="D60" s="25" t="s">
        <v>119</v>
      </c>
      <c r="E60" s="59"/>
      <c r="F60" s="55"/>
      <c r="G60" s="55"/>
      <c r="H60" s="53" t="e">
        <f t="shared" si="1"/>
        <v>#DIV/0!</v>
      </c>
      <c r="I60" s="55"/>
      <c r="J60" s="55"/>
      <c r="K60" s="53">
        <f t="shared" si="0"/>
        <v>0</v>
      </c>
      <c r="L60" s="75" t="e">
        <f t="shared" si="2"/>
        <v>#DIV/0!</v>
      </c>
    </row>
    <row r="61" spans="1:12" ht="15.75">
      <c r="A61" s="119"/>
      <c r="B61" s="119"/>
      <c r="C61" s="4" t="s">
        <v>77</v>
      </c>
      <c r="D61" s="23" t="s">
        <v>78</v>
      </c>
      <c r="E61" s="59"/>
      <c r="F61" s="55"/>
      <c r="G61" s="55"/>
      <c r="H61" s="53" t="e">
        <f t="shared" si="1"/>
        <v>#DIV/0!</v>
      </c>
      <c r="I61" s="55"/>
      <c r="J61" s="55"/>
      <c r="K61" s="53">
        <f t="shared" si="0"/>
        <v>0</v>
      </c>
      <c r="L61" s="75" t="e">
        <f t="shared" si="2"/>
        <v>#DIV/0!</v>
      </c>
    </row>
    <row r="62" spans="1:12" ht="15.75">
      <c r="A62" s="119"/>
      <c r="B62" s="119"/>
      <c r="C62" s="4" t="s">
        <v>81</v>
      </c>
      <c r="D62" s="23" t="s">
        <v>82</v>
      </c>
      <c r="E62" s="59"/>
      <c r="F62" s="55"/>
      <c r="G62" s="55"/>
      <c r="H62" s="53" t="e">
        <f t="shared" si="1"/>
        <v>#DIV/0!</v>
      </c>
      <c r="I62" s="55"/>
      <c r="J62" s="55"/>
      <c r="K62" s="53">
        <f t="shared" si="0"/>
        <v>0</v>
      </c>
      <c r="L62" s="75" t="e">
        <f t="shared" si="2"/>
        <v>#DIV/0!</v>
      </c>
    </row>
    <row r="63" spans="1:12" ht="15.75">
      <c r="A63" s="119"/>
      <c r="B63" s="119"/>
      <c r="C63" s="4" t="s">
        <v>83</v>
      </c>
      <c r="D63" s="23" t="s">
        <v>121</v>
      </c>
      <c r="E63" s="59"/>
      <c r="F63" s="55">
        <v>500</v>
      </c>
      <c r="G63" s="55"/>
      <c r="H63" s="53">
        <f t="shared" si="1"/>
        <v>0</v>
      </c>
      <c r="I63" s="55">
        <v>100</v>
      </c>
      <c r="J63" s="55"/>
      <c r="K63" s="53">
        <f t="shared" si="0"/>
        <v>-100</v>
      </c>
      <c r="L63" s="75">
        <f t="shared" si="2"/>
        <v>0</v>
      </c>
    </row>
    <row r="64" spans="1:12" s="16" customFormat="1" ht="15.75">
      <c r="A64" s="119"/>
      <c r="B64" s="119"/>
      <c r="C64" s="42"/>
      <c r="D64" s="26" t="s">
        <v>21</v>
      </c>
      <c r="E64" s="57">
        <f>SUM(E60:E63)</f>
        <v>0</v>
      </c>
      <c r="F64" s="57">
        <f>SUM(F60:F63)</f>
        <v>500</v>
      </c>
      <c r="G64" s="57">
        <f>SUM(G60:G63)</f>
        <v>0</v>
      </c>
      <c r="H64" s="58">
        <f t="shared" si="1"/>
        <v>0</v>
      </c>
      <c r="I64" s="57">
        <f>SUM(I60:I63)</f>
        <v>100</v>
      </c>
      <c r="J64" s="57">
        <f>SUM(J60:J63)</f>
        <v>0</v>
      </c>
      <c r="K64" s="58">
        <f t="shared" si="0"/>
        <v>-100</v>
      </c>
      <c r="L64" s="76">
        <f t="shared" si="2"/>
        <v>0</v>
      </c>
    </row>
    <row r="65" spans="1:12" ht="31.5" customHeight="1">
      <c r="A65" s="122" t="s">
        <v>88</v>
      </c>
      <c r="B65" s="116" t="s">
        <v>89</v>
      </c>
      <c r="C65" s="4" t="s">
        <v>114</v>
      </c>
      <c r="D65" s="25" t="s">
        <v>119</v>
      </c>
      <c r="E65" s="59"/>
      <c r="F65" s="59"/>
      <c r="G65" s="59"/>
      <c r="H65" s="53" t="e">
        <f t="shared" si="1"/>
        <v>#DIV/0!</v>
      </c>
      <c r="I65" s="59"/>
      <c r="J65" s="59"/>
      <c r="K65" s="53">
        <f t="shared" si="0"/>
        <v>0</v>
      </c>
      <c r="L65" s="75" t="e">
        <f t="shared" si="2"/>
        <v>#DIV/0!</v>
      </c>
    </row>
    <row r="66" spans="1:12" ht="48.75" customHeight="1">
      <c r="A66" s="122"/>
      <c r="B66" s="116"/>
      <c r="C66" s="4" t="s">
        <v>48</v>
      </c>
      <c r="D66" s="23" t="s">
        <v>158</v>
      </c>
      <c r="E66" s="59"/>
      <c r="F66" s="59"/>
      <c r="G66" s="59">
        <v>2.52083</v>
      </c>
      <c r="H66" s="53"/>
      <c r="I66" s="59"/>
      <c r="J66" s="59">
        <v>2.52083</v>
      </c>
      <c r="K66" s="53">
        <f t="shared" si="0"/>
        <v>2.52083</v>
      </c>
      <c r="L66" s="75"/>
    </row>
    <row r="67" spans="1:12" ht="15.75">
      <c r="A67" s="122"/>
      <c r="B67" s="116"/>
      <c r="C67" s="4" t="s">
        <v>77</v>
      </c>
      <c r="D67" s="23" t="s">
        <v>78</v>
      </c>
      <c r="E67" s="59">
        <v>2.25015</v>
      </c>
      <c r="F67" s="59"/>
      <c r="G67" s="59"/>
      <c r="H67" s="53"/>
      <c r="I67" s="59"/>
      <c r="J67" s="59"/>
      <c r="K67" s="53">
        <f t="shared" si="0"/>
        <v>0</v>
      </c>
      <c r="L67" s="75"/>
    </row>
    <row r="68" spans="1:12" ht="15.75">
      <c r="A68" s="122"/>
      <c r="B68" s="116"/>
      <c r="C68" s="4" t="s">
        <v>81</v>
      </c>
      <c r="D68" s="23" t="s">
        <v>82</v>
      </c>
      <c r="E68" s="59">
        <v>28.40604</v>
      </c>
      <c r="F68" s="59"/>
      <c r="G68" s="59">
        <v>372.391</v>
      </c>
      <c r="H68" s="53"/>
      <c r="I68" s="59"/>
      <c r="J68" s="59">
        <v>372.391</v>
      </c>
      <c r="K68" s="53">
        <f t="shared" si="0"/>
        <v>372.391</v>
      </c>
      <c r="L68" s="75"/>
    </row>
    <row r="69" spans="1:12" ht="15.75">
      <c r="A69" s="122"/>
      <c r="B69" s="116"/>
      <c r="C69" s="4" t="s">
        <v>79</v>
      </c>
      <c r="D69" s="23" t="s">
        <v>117</v>
      </c>
      <c r="E69" s="59"/>
      <c r="F69" s="59"/>
      <c r="G69" s="59"/>
      <c r="H69" s="53" t="e">
        <f t="shared" si="1"/>
        <v>#DIV/0!</v>
      </c>
      <c r="I69" s="59"/>
      <c r="J69" s="59"/>
      <c r="K69" s="53">
        <f t="shared" si="0"/>
        <v>0</v>
      </c>
      <c r="L69" s="75" t="e">
        <f aca="true" t="shared" si="3" ref="L69:L131">J69/I69*100</f>
        <v>#DIV/0!</v>
      </c>
    </row>
    <row r="70" spans="1:12" ht="15.75">
      <c r="A70" s="122"/>
      <c r="B70" s="116"/>
      <c r="C70" s="4" t="s">
        <v>87</v>
      </c>
      <c r="D70" s="23" t="s">
        <v>152</v>
      </c>
      <c r="E70" s="59"/>
      <c r="F70" s="59">
        <v>81901.5</v>
      </c>
      <c r="G70" s="59"/>
      <c r="H70" s="53">
        <f t="shared" si="1"/>
        <v>0</v>
      </c>
      <c r="I70" s="59">
        <v>20475.375</v>
      </c>
      <c r="J70" s="59"/>
      <c r="K70" s="53">
        <f aca="true" t="shared" si="4" ref="K70:K133">J70-I70</f>
        <v>-20475.375</v>
      </c>
      <c r="L70" s="75">
        <f t="shared" si="3"/>
        <v>0</v>
      </c>
    </row>
    <row r="71" spans="1:12" ht="15.75">
      <c r="A71" s="122"/>
      <c r="B71" s="116"/>
      <c r="C71" s="4" t="s">
        <v>142</v>
      </c>
      <c r="D71" s="23" t="s">
        <v>153</v>
      </c>
      <c r="E71" s="59"/>
      <c r="F71" s="59">
        <v>16114.9</v>
      </c>
      <c r="G71" s="59">
        <v>1144.133</v>
      </c>
      <c r="H71" s="53">
        <f t="shared" si="1"/>
        <v>7.099845484613619</v>
      </c>
      <c r="I71" s="59">
        <f>541.4+3487.325</f>
        <v>4028.725</v>
      </c>
      <c r="J71" s="59">
        <v>1144.133</v>
      </c>
      <c r="K71" s="53">
        <f t="shared" si="4"/>
        <v>-2884.5919999999996</v>
      </c>
      <c r="L71" s="75">
        <f t="shared" si="3"/>
        <v>28.399381938454475</v>
      </c>
    </row>
    <row r="72" spans="1:12" ht="15.75">
      <c r="A72" s="122"/>
      <c r="B72" s="116"/>
      <c r="C72" s="4" t="s">
        <v>57</v>
      </c>
      <c r="D72" s="23" t="s">
        <v>111</v>
      </c>
      <c r="E72" s="59"/>
      <c r="F72" s="59"/>
      <c r="G72" s="59"/>
      <c r="H72" s="53" t="e">
        <f t="shared" si="1"/>
        <v>#DIV/0!</v>
      </c>
      <c r="I72" s="59"/>
      <c r="J72" s="59"/>
      <c r="K72" s="53">
        <f t="shared" si="4"/>
        <v>0</v>
      </c>
      <c r="L72" s="75" t="e">
        <f t="shared" si="3"/>
        <v>#DIV/0!</v>
      </c>
    </row>
    <row r="73" spans="1:12" ht="15.75">
      <c r="A73" s="122"/>
      <c r="B73" s="116"/>
      <c r="C73" s="4" t="s">
        <v>83</v>
      </c>
      <c r="D73" s="23" t="s">
        <v>121</v>
      </c>
      <c r="E73" s="59">
        <f>17064.08984+160.85603+5768.8935+52.07362</f>
        <v>23045.91299</v>
      </c>
      <c r="F73" s="59">
        <v>468953</v>
      </c>
      <c r="G73" s="59">
        <v>27221.85202</v>
      </c>
      <c r="H73" s="53">
        <f t="shared" si="1"/>
        <v>5.804814559241544</v>
      </c>
      <c r="I73" s="59">
        <v>117238.25</v>
      </c>
      <c r="J73" s="59">
        <v>27221.85202</v>
      </c>
      <c r="K73" s="53">
        <f t="shared" si="4"/>
        <v>-90016.39798000001</v>
      </c>
      <c r="L73" s="75">
        <f t="shared" si="3"/>
        <v>23.219258236966176</v>
      </c>
    </row>
    <row r="74" spans="1:12" s="16" customFormat="1" ht="15.75">
      <c r="A74" s="122"/>
      <c r="B74" s="115"/>
      <c r="C74" s="32"/>
      <c r="D74" s="26" t="s">
        <v>21</v>
      </c>
      <c r="E74" s="57">
        <f>SUM(E65:E73)</f>
        <v>23076.569180000002</v>
      </c>
      <c r="F74" s="57">
        <f>SUM(F65:F73)</f>
        <v>566969.4</v>
      </c>
      <c r="G74" s="57">
        <f>SUM(G65:G73)</f>
        <v>28740.896849999997</v>
      </c>
      <c r="H74" s="58">
        <f t="shared" si="1"/>
        <v>5.069214820059071</v>
      </c>
      <c r="I74" s="57">
        <f>SUM(I65:I73)</f>
        <v>141742.35</v>
      </c>
      <c r="J74" s="57">
        <f>SUM(J65:J73)</f>
        <v>28740.896849999997</v>
      </c>
      <c r="K74" s="58">
        <f t="shared" si="4"/>
        <v>-113001.45315000002</v>
      </c>
      <c r="L74" s="76">
        <f t="shared" si="3"/>
        <v>20.276859280236284</v>
      </c>
    </row>
    <row r="75" spans="1:12" ht="15.75">
      <c r="A75" s="122" t="s">
        <v>99</v>
      </c>
      <c r="B75" s="116" t="s">
        <v>100</v>
      </c>
      <c r="C75" s="4" t="s">
        <v>81</v>
      </c>
      <c r="D75" s="23" t="s">
        <v>82</v>
      </c>
      <c r="E75" s="59">
        <v>24.4332</v>
      </c>
      <c r="F75" s="55"/>
      <c r="G75" s="55"/>
      <c r="H75" s="53"/>
      <c r="I75" s="55"/>
      <c r="J75" s="55"/>
      <c r="K75" s="53">
        <f t="shared" si="4"/>
        <v>0</v>
      </c>
      <c r="L75" s="75"/>
    </row>
    <row r="76" spans="1:12" ht="15.75">
      <c r="A76" s="122"/>
      <c r="B76" s="116"/>
      <c r="C76" s="4" t="s">
        <v>83</v>
      </c>
      <c r="D76" s="23" t="s">
        <v>121</v>
      </c>
      <c r="E76" s="59">
        <f>2414.38887+64.4+43.931</f>
        <v>2522.7198700000004</v>
      </c>
      <c r="F76" s="55">
        <v>72715.2</v>
      </c>
      <c r="G76" s="55"/>
      <c r="H76" s="53">
        <f aca="true" t="shared" si="5" ref="H76:H135">G76/F76*100</f>
        <v>0</v>
      </c>
      <c r="I76" s="55">
        <v>13840.7</v>
      </c>
      <c r="J76" s="55"/>
      <c r="K76" s="53">
        <f t="shared" si="4"/>
        <v>-13840.7</v>
      </c>
      <c r="L76" s="75">
        <f t="shared" si="3"/>
        <v>0</v>
      </c>
    </row>
    <row r="77" spans="1:12" s="16" customFormat="1" ht="15.75">
      <c r="A77" s="122"/>
      <c r="B77" s="116"/>
      <c r="C77" s="42"/>
      <c r="D77" s="26" t="s">
        <v>21</v>
      </c>
      <c r="E77" s="57">
        <f>SUM(E75:E76)</f>
        <v>2547.1530700000003</v>
      </c>
      <c r="F77" s="57">
        <f>SUM(F75:F76)</f>
        <v>72715.2</v>
      </c>
      <c r="G77" s="57">
        <f>SUM(G75:G76)</f>
        <v>0</v>
      </c>
      <c r="H77" s="58">
        <f t="shared" si="5"/>
        <v>0</v>
      </c>
      <c r="I77" s="57">
        <f>SUM(I75:I76)</f>
        <v>13840.7</v>
      </c>
      <c r="J77" s="57">
        <f>SUM(J75:J76)</f>
        <v>0</v>
      </c>
      <c r="K77" s="58">
        <f t="shared" si="4"/>
        <v>-13840.7</v>
      </c>
      <c r="L77" s="76">
        <f t="shared" si="3"/>
        <v>0</v>
      </c>
    </row>
    <row r="78" spans="1:12" ht="31.5">
      <c r="A78" s="122" t="s">
        <v>91</v>
      </c>
      <c r="B78" s="116" t="s">
        <v>103</v>
      </c>
      <c r="C78" s="4" t="s">
        <v>114</v>
      </c>
      <c r="D78" s="25" t="s">
        <v>119</v>
      </c>
      <c r="E78" s="59"/>
      <c r="F78" s="59"/>
      <c r="G78" s="59"/>
      <c r="H78" s="53" t="e">
        <f t="shared" si="5"/>
        <v>#DIV/0!</v>
      </c>
      <c r="I78" s="59"/>
      <c r="J78" s="59"/>
      <c r="K78" s="53">
        <f t="shared" si="4"/>
        <v>0</v>
      </c>
      <c r="L78" s="75" t="e">
        <f t="shared" si="3"/>
        <v>#DIV/0!</v>
      </c>
    </row>
    <row r="79" spans="1:12" ht="15.75">
      <c r="A79" s="122"/>
      <c r="B79" s="116"/>
      <c r="C79" s="4" t="s">
        <v>77</v>
      </c>
      <c r="D79" s="23" t="s">
        <v>78</v>
      </c>
      <c r="E79" s="59"/>
      <c r="F79" s="59"/>
      <c r="G79" s="59"/>
      <c r="H79" s="53"/>
      <c r="I79" s="59"/>
      <c r="J79" s="59"/>
      <c r="K79" s="53">
        <f t="shared" si="4"/>
        <v>0</v>
      </c>
      <c r="L79" s="75"/>
    </row>
    <row r="80" spans="1:12" ht="15.75">
      <c r="A80" s="122"/>
      <c r="B80" s="116"/>
      <c r="C80" s="4" t="s">
        <v>81</v>
      </c>
      <c r="D80" s="23" t="s">
        <v>82</v>
      </c>
      <c r="E80" s="59">
        <v>71.37931</v>
      </c>
      <c r="F80" s="59"/>
      <c r="G80" s="59">
        <v>18.482</v>
      </c>
      <c r="H80" s="53"/>
      <c r="I80" s="59"/>
      <c r="J80" s="59">
        <v>18.482</v>
      </c>
      <c r="K80" s="53">
        <f t="shared" si="4"/>
        <v>18.482</v>
      </c>
      <c r="L80" s="75"/>
    </row>
    <row r="81" spans="1:12" ht="15.75">
      <c r="A81" s="122"/>
      <c r="B81" s="116"/>
      <c r="C81" s="4" t="s">
        <v>79</v>
      </c>
      <c r="D81" s="23" t="s">
        <v>117</v>
      </c>
      <c r="E81" s="59"/>
      <c r="F81" s="59"/>
      <c r="G81" s="59"/>
      <c r="H81" s="53" t="e">
        <f t="shared" si="5"/>
        <v>#DIV/0!</v>
      </c>
      <c r="I81" s="59"/>
      <c r="J81" s="59"/>
      <c r="K81" s="53">
        <f t="shared" si="4"/>
        <v>0</v>
      </c>
      <c r="L81" s="75" t="e">
        <f t="shared" si="3"/>
        <v>#DIV/0!</v>
      </c>
    </row>
    <row r="82" spans="1:12" ht="15.75">
      <c r="A82" s="122"/>
      <c r="B82" s="116"/>
      <c r="C82" s="4" t="s">
        <v>142</v>
      </c>
      <c r="D82" s="23" t="s">
        <v>153</v>
      </c>
      <c r="E82" s="59"/>
      <c r="F82" s="59">
        <v>1619072.7</v>
      </c>
      <c r="G82" s="59">
        <f>203607.2+2587.9</f>
        <v>206195.1</v>
      </c>
      <c r="H82" s="53">
        <f t="shared" si="5"/>
        <v>12.735382419825866</v>
      </c>
      <c r="I82" s="59">
        <v>351910.194</v>
      </c>
      <c r="J82" s="59">
        <f>203607.2+2587.9</f>
        <v>206195.1</v>
      </c>
      <c r="K82" s="53">
        <f t="shared" si="4"/>
        <v>-145715.094</v>
      </c>
      <c r="L82" s="75">
        <f t="shared" si="3"/>
        <v>58.59310230723239</v>
      </c>
    </row>
    <row r="83" spans="1:12" ht="15.75">
      <c r="A83" s="122"/>
      <c r="B83" s="116"/>
      <c r="C83" s="4" t="s">
        <v>57</v>
      </c>
      <c r="D83" s="23" t="s">
        <v>90</v>
      </c>
      <c r="E83" s="59"/>
      <c r="F83" s="59"/>
      <c r="G83" s="56"/>
      <c r="H83" s="53" t="e">
        <f t="shared" si="5"/>
        <v>#DIV/0!</v>
      </c>
      <c r="I83" s="59"/>
      <c r="J83" s="56"/>
      <c r="K83" s="53">
        <f t="shared" si="4"/>
        <v>0</v>
      </c>
      <c r="L83" s="75" t="e">
        <f t="shared" si="3"/>
        <v>#DIV/0!</v>
      </c>
    </row>
    <row r="84" spans="1:12" ht="15.75">
      <c r="A84" s="122"/>
      <c r="B84" s="116"/>
      <c r="C84" s="4" t="s">
        <v>83</v>
      </c>
      <c r="D84" s="23" t="s">
        <v>121</v>
      </c>
      <c r="E84" s="59">
        <f>25531.08117+61.3752+1814.95581</f>
        <v>27407.41218</v>
      </c>
      <c r="F84" s="59">
        <v>540670.1</v>
      </c>
      <c r="G84" s="59">
        <v>28535.2198</v>
      </c>
      <c r="H84" s="53">
        <f t="shared" si="5"/>
        <v>5.27775066533178</v>
      </c>
      <c r="I84" s="59">
        <v>126451.7</v>
      </c>
      <c r="J84" s="59">
        <v>28535.2198</v>
      </c>
      <c r="K84" s="53">
        <f t="shared" si="4"/>
        <v>-97916.48019999999</v>
      </c>
      <c r="L84" s="75">
        <f t="shared" si="3"/>
        <v>22.566102156001065</v>
      </c>
    </row>
    <row r="85" spans="1:12" s="16" customFormat="1" ht="15.75">
      <c r="A85" s="122"/>
      <c r="B85" s="116"/>
      <c r="C85" s="42"/>
      <c r="D85" s="26" t="s">
        <v>21</v>
      </c>
      <c r="E85" s="57">
        <f>SUM(E78:E84)</f>
        <v>27478.79149</v>
      </c>
      <c r="F85" s="57">
        <f>SUM(F78:F84)</f>
        <v>2159742.8</v>
      </c>
      <c r="G85" s="57">
        <f>SUM(G78:G84)</f>
        <v>234748.8018</v>
      </c>
      <c r="H85" s="58">
        <f t="shared" si="5"/>
        <v>10.869294334492052</v>
      </c>
      <c r="I85" s="57">
        <f>SUM(I78:I84)</f>
        <v>478361.89400000003</v>
      </c>
      <c r="J85" s="57">
        <f>SUM(J78:J84)</f>
        <v>234748.8018</v>
      </c>
      <c r="K85" s="58">
        <f t="shared" si="4"/>
        <v>-243613.09220000004</v>
      </c>
      <c r="L85" s="76">
        <f t="shared" si="3"/>
        <v>49.07347444359771</v>
      </c>
    </row>
    <row r="86" spans="1:12" ht="31.5">
      <c r="A86" s="114" t="s">
        <v>110</v>
      </c>
      <c r="B86" s="116" t="s">
        <v>124</v>
      </c>
      <c r="C86" s="4" t="s">
        <v>114</v>
      </c>
      <c r="D86" s="25" t="s">
        <v>119</v>
      </c>
      <c r="E86" s="59"/>
      <c r="F86" s="55"/>
      <c r="G86" s="55"/>
      <c r="H86" s="53" t="e">
        <f t="shared" si="5"/>
        <v>#DIV/0!</v>
      </c>
      <c r="I86" s="55"/>
      <c r="J86" s="55"/>
      <c r="K86" s="53">
        <f t="shared" si="4"/>
        <v>0</v>
      </c>
      <c r="L86" s="75" t="e">
        <f t="shared" si="3"/>
        <v>#DIV/0!</v>
      </c>
    </row>
    <row r="87" spans="1:12" ht="15.75">
      <c r="A87" s="119"/>
      <c r="B87" s="123"/>
      <c r="C87" s="4" t="s">
        <v>66</v>
      </c>
      <c r="D87" s="23" t="s">
        <v>67</v>
      </c>
      <c r="E87" s="59"/>
      <c r="F87" s="55">
        <v>1460</v>
      </c>
      <c r="G87" s="56"/>
      <c r="H87" s="53">
        <f t="shared" si="5"/>
        <v>0</v>
      </c>
      <c r="I87" s="55"/>
      <c r="J87" s="56"/>
      <c r="K87" s="53">
        <f t="shared" si="4"/>
        <v>0</v>
      </c>
      <c r="L87" s="75"/>
    </row>
    <row r="88" spans="1:12" ht="15.75">
      <c r="A88" s="119"/>
      <c r="B88" s="123"/>
      <c r="C88" s="4" t="s">
        <v>77</v>
      </c>
      <c r="D88" s="23" t="s">
        <v>78</v>
      </c>
      <c r="E88" s="59">
        <f>1.47712+3.2+3+2.2+0.1</f>
        <v>9.977120000000001</v>
      </c>
      <c r="F88" s="55">
        <f>427+206.7+350+195.3+119+50+220</f>
        <v>1568</v>
      </c>
      <c r="G88" s="55">
        <v>127.49743</v>
      </c>
      <c r="H88" s="53">
        <f t="shared" si="5"/>
        <v>8.131213647959184</v>
      </c>
      <c r="I88" s="55">
        <v>308.475</v>
      </c>
      <c r="J88" s="55">
        <v>127.49743</v>
      </c>
      <c r="K88" s="53">
        <f t="shared" si="4"/>
        <v>-180.97757000000001</v>
      </c>
      <c r="L88" s="75">
        <f t="shared" si="3"/>
        <v>41.331527676472966</v>
      </c>
    </row>
    <row r="89" spans="1:12" ht="15.75">
      <c r="A89" s="119"/>
      <c r="B89" s="123"/>
      <c r="C89" s="4" t="s">
        <v>81</v>
      </c>
      <c r="D89" s="23" t="s">
        <v>82</v>
      </c>
      <c r="E89" s="59">
        <f>6.8+7.7+9.1+6.8+2.1+4.6+19.98127</f>
        <v>57.08127</v>
      </c>
      <c r="F89" s="55"/>
      <c r="G89" s="55">
        <v>1.8</v>
      </c>
      <c r="H89" s="53"/>
      <c r="I89" s="55"/>
      <c r="J89" s="55">
        <v>1.8</v>
      </c>
      <c r="K89" s="53">
        <f t="shared" si="4"/>
        <v>1.8</v>
      </c>
      <c r="L89" s="75"/>
    </row>
    <row r="90" spans="1:12" ht="15.75">
      <c r="A90" s="119"/>
      <c r="B90" s="123"/>
      <c r="C90" s="4" t="s">
        <v>79</v>
      </c>
      <c r="D90" s="23" t="s">
        <v>117</v>
      </c>
      <c r="E90" s="59"/>
      <c r="F90" s="55"/>
      <c r="G90" s="55"/>
      <c r="H90" s="53" t="e">
        <f t="shared" si="5"/>
        <v>#DIV/0!</v>
      </c>
      <c r="I90" s="55"/>
      <c r="J90" s="55"/>
      <c r="K90" s="53">
        <f t="shared" si="4"/>
        <v>0</v>
      </c>
      <c r="L90" s="75" t="e">
        <f t="shared" si="3"/>
        <v>#DIV/0!</v>
      </c>
    </row>
    <row r="91" spans="1:12" ht="15.75">
      <c r="A91" s="119"/>
      <c r="B91" s="123"/>
      <c r="C91" s="4" t="s">
        <v>142</v>
      </c>
      <c r="D91" s="23" t="s">
        <v>153</v>
      </c>
      <c r="E91" s="59"/>
      <c r="F91" s="55">
        <v>78826.5</v>
      </c>
      <c r="G91" s="55"/>
      <c r="H91" s="53">
        <f t="shared" si="5"/>
        <v>0</v>
      </c>
      <c r="I91" s="55">
        <v>6904.307</v>
      </c>
      <c r="J91" s="55"/>
      <c r="K91" s="53">
        <f t="shared" si="4"/>
        <v>-6904.307</v>
      </c>
      <c r="L91" s="75">
        <f t="shared" si="3"/>
        <v>0</v>
      </c>
    </row>
    <row r="92" spans="1:12" s="16" customFormat="1" ht="15.75">
      <c r="A92" s="119"/>
      <c r="B92" s="123"/>
      <c r="C92" s="43"/>
      <c r="D92" s="26" t="s">
        <v>21</v>
      </c>
      <c r="E92" s="60">
        <f>SUM(E86:E91)</f>
        <v>67.05839</v>
      </c>
      <c r="F92" s="60">
        <f>SUM(F86:F91)</f>
        <v>81854.5</v>
      </c>
      <c r="G92" s="60">
        <f>SUM(G86:G91)</f>
        <v>129.29743</v>
      </c>
      <c r="H92" s="58">
        <f t="shared" si="5"/>
        <v>0.15796007549981977</v>
      </c>
      <c r="I92" s="60">
        <f>SUM(I86:I91)</f>
        <v>7212.782</v>
      </c>
      <c r="J92" s="60">
        <f>SUM(J86:J91)</f>
        <v>129.29743</v>
      </c>
      <c r="K92" s="58">
        <f t="shared" si="4"/>
        <v>-7083.4845700000005</v>
      </c>
      <c r="L92" s="76">
        <f t="shared" si="3"/>
        <v>1.7926152488734581</v>
      </c>
    </row>
    <row r="93" spans="1:12" ht="15.75">
      <c r="A93" s="114" t="s">
        <v>59</v>
      </c>
      <c r="B93" s="116" t="s">
        <v>60</v>
      </c>
      <c r="C93" s="4" t="s">
        <v>36</v>
      </c>
      <c r="D93" s="24" t="s">
        <v>61</v>
      </c>
      <c r="E93" s="59"/>
      <c r="F93" s="55"/>
      <c r="G93" s="56"/>
      <c r="H93" s="53" t="e">
        <f t="shared" si="5"/>
        <v>#DIV/0!</v>
      </c>
      <c r="I93" s="55"/>
      <c r="J93" s="56"/>
      <c r="K93" s="53">
        <f t="shared" si="4"/>
        <v>0</v>
      </c>
      <c r="L93" s="75" t="e">
        <f t="shared" si="3"/>
        <v>#DIV/0!</v>
      </c>
    </row>
    <row r="94" spans="1:12" ht="31.5">
      <c r="A94" s="114"/>
      <c r="B94" s="116"/>
      <c r="C94" s="4" t="s">
        <v>114</v>
      </c>
      <c r="D94" s="25" t="s">
        <v>119</v>
      </c>
      <c r="E94" s="59"/>
      <c r="F94" s="55"/>
      <c r="G94" s="55"/>
      <c r="H94" s="53" t="e">
        <f t="shared" si="5"/>
        <v>#DIV/0!</v>
      </c>
      <c r="I94" s="55"/>
      <c r="J94" s="55"/>
      <c r="K94" s="53">
        <f t="shared" si="4"/>
        <v>0</v>
      </c>
      <c r="L94" s="75" t="e">
        <f t="shared" si="3"/>
        <v>#DIV/0!</v>
      </c>
    </row>
    <row r="95" spans="1:12" ht="78.75">
      <c r="A95" s="114"/>
      <c r="B95" s="116"/>
      <c r="C95" s="63" t="s">
        <v>128</v>
      </c>
      <c r="D95" s="64" t="s">
        <v>129</v>
      </c>
      <c r="E95" s="59"/>
      <c r="F95" s="55">
        <v>23545.8</v>
      </c>
      <c r="G95" s="55"/>
      <c r="H95" s="53">
        <f t="shared" si="5"/>
        <v>0</v>
      </c>
      <c r="I95" s="55">
        <v>6359.464</v>
      </c>
      <c r="J95" s="55"/>
      <c r="K95" s="53">
        <f t="shared" si="4"/>
        <v>-6359.464</v>
      </c>
      <c r="L95" s="75">
        <f t="shared" si="3"/>
        <v>0</v>
      </c>
    </row>
    <row r="96" spans="1:12" ht="15.75">
      <c r="A96" s="114"/>
      <c r="B96" s="116"/>
      <c r="C96" s="4" t="s">
        <v>77</v>
      </c>
      <c r="D96" s="23" t="s">
        <v>78</v>
      </c>
      <c r="E96" s="59">
        <v>104.622</v>
      </c>
      <c r="F96" s="55"/>
      <c r="G96" s="55"/>
      <c r="H96" s="53"/>
      <c r="I96" s="55"/>
      <c r="J96" s="55"/>
      <c r="K96" s="53">
        <f t="shared" si="4"/>
        <v>0</v>
      </c>
      <c r="L96" s="75"/>
    </row>
    <row r="97" spans="1:12" ht="15.75">
      <c r="A97" s="114"/>
      <c r="B97" s="116"/>
      <c r="C97" s="4" t="s">
        <v>81</v>
      </c>
      <c r="D97" s="23" t="s">
        <v>82</v>
      </c>
      <c r="E97" s="59"/>
      <c r="F97" s="55"/>
      <c r="G97" s="55"/>
      <c r="H97" s="53" t="e">
        <f t="shared" si="5"/>
        <v>#DIV/0!</v>
      </c>
      <c r="I97" s="55"/>
      <c r="J97" s="55"/>
      <c r="K97" s="53">
        <f t="shared" si="4"/>
        <v>0</v>
      </c>
      <c r="L97" s="75" t="e">
        <f t="shared" si="3"/>
        <v>#DIV/0!</v>
      </c>
    </row>
    <row r="98" spans="1:12" ht="15.75">
      <c r="A98" s="114"/>
      <c r="B98" s="116"/>
      <c r="C98" s="4" t="s">
        <v>83</v>
      </c>
      <c r="D98" s="23" t="s">
        <v>121</v>
      </c>
      <c r="E98" s="59"/>
      <c r="F98" s="55"/>
      <c r="G98" s="55"/>
      <c r="H98" s="53" t="e">
        <f t="shared" si="5"/>
        <v>#DIV/0!</v>
      </c>
      <c r="I98" s="55"/>
      <c r="J98" s="55"/>
      <c r="K98" s="53">
        <f t="shared" si="4"/>
        <v>0</v>
      </c>
      <c r="L98" s="75" t="e">
        <f t="shared" si="3"/>
        <v>#DIV/0!</v>
      </c>
    </row>
    <row r="99" spans="1:12" s="16" customFormat="1" ht="15.75">
      <c r="A99" s="115"/>
      <c r="B99" s="115"/>
      <c r="C99" s="32"/>
      <c r="D99" s="26" t="s">
        <v>21</v>
      </c>
      <c r="E99" s="60">
        <f>SUM(E93:E98)</f>
        <v>104.622</v>
      </c>
      <c r="F99" s="60">
        <f>SUM(F93:F98)</f>
        <v>23545.8</v>
      </c>
      <c r="G99" s="60">
        <f>SUM(G93:G98)</f>
        <v>0</v>
      </c>
      <c r="H99" s="58">
        <f t="shared" si="5"/>
        <v>0</v>
      </c>
      <c r="I99" s="60">
        <f>SUM(I93:I98)</f>
        <v>6359.464</v>
      </c>
      <c r="J99" s="60">
        <f>SUM(J93:J98)</f>
        <v>0</v>
      </c>
      <c r="K99" s="58">
        <f t="shared" si="4"/>
        <v>-6359.464</v>
      </c>
      <c r="L99" s="76">
        <f t="shared" si="3"/>
        <v>0</v>
      </c>
    </row>
    <row r="100" spans="1:12" ht="31.5">
      <c r="A100" s="122" t="s">
        <v>104</v>
      </c>
      <c r="B100" s="116" t="s">
        <v>105</v>
      </c>
      <c r="C100" s="4" t="s">
        <v>114</v>
      </c>
      <c r="D100" s="25" t="s">
        <v>119</v>
      </c>
      <c r="E100" s="59"/>
      <c r="F100" s="55"/>
      <c r="G100" s="55"/>
      <c r="H100" s="53" t="e">
        <f t="shared" si="5"/>
        <v>#DIV/0!</v>
      </c>
      <c r="I100" s="55"/>
      <c r="J100" s="55"/>
      <c r="K100" s="53">
        <f t="shared" si="4"/>
        <v>0</v>
      </c>
      <c r="L100" s="75" t="e">
        <f t="shared" si="3"/>
        <v>#DIV/0!</v>
      </c>
    </row>
    <row r="101" spans="1:12" ht="15.75">
      <c r="A101" s="122"/>
      <c r="B101" s="116"/>
      <c r="C101" s="4" t="s">
        <v>77</v>
      </c>
      <c r="D101" s="23" t="s">
        <v>78</v>
      </c>
      <c r="E101" s="59"/>
      <c r="F101" s="55">
        <v>7734</v>
      </c>
      <c r="G101" s="55"/>
      <c r="H101" s="53">
        <f t="shared" si="5"/>
        <v>0</v>
      </c>
      <c r="I101" s="55"/>
      <c r="J101" s="55"/>
      <c r="K101" s="53">
        <f t="shared" si="4"/>
        <v>0</v>
      </c>
      <c r="L101" s="75"/>
    </row>
    <row r="102" spans="1:12" ht="15.75">
      <c r="A102" s="122"/>
      <c r="B102" s="116"/>
      <c r="C102" s="4" t="s">
        <v>79</v>
      </c>
      <c r="D102" s="23" t="s">
        <v>117</v>
      </c>
      <c r="E102" s="59"/>
      <c r="F102" s="55"/>
      <c r="G102" s="55"/>
      <c r="H102" s="53" t="e">
        <f t="shared" si="5"/>
        <v>#DIV/0!</v>
      </c>
      <c r="I102" s="55"/>
      <c r="J102" s="55"/>
      <c r="K102" s="53">
        <f t="shared" si="4"/>
        <v>0</v>
      </c>
      <c r="L102" s="75" t="e">
        <f t="shared" si="3"/>
        <v>#DIV/0!</v>
      </c>
    </row>
    <row r="103" spans="1:12" ht="15.75">
      <c r="A103" s="122"/>
      <c r="B103" s="116"/>
      <c r="C103" s="4" t="s">
        <v>87</v>
      </c>
      <c r="D103" s="23" t="s">
        <v>154</v>
      </c>
      <c r="E103" s="59"/>
      <c r="F103" s="55">
        <v>970199</v>
      </c>
      <c r="G103" s="55"/>
      <c r="H103" s="53">
        <f t="shared" si="5"/>
        <v>0</v>
      </c>
      <c r="I103" s="55">
        <v>80000</v>
      </c>
      <c r="J103" s="55"/>
      <c r="K103" s="53">
        <f t="shared" si="4"/>
        <v>-80000</v>
      </c>
      <c r="L103" s="75">
        <f t="shared" si="3"/>
        <v>0</v>
      </c>
    </row>
    <row r="104" spans="1:12" ht="15.75">
      <c r="A104" s="122"/>
      <c r="B104" s="116"/>
      <c r="C104" s="4" t="s">
        <v>83</v>
      </c>
      <c r="D104" s="23" t="s">
        <v>121</v>
      </c>
      <c r="E104" s="59"/>
      <c r="F104" s="55"/>
      <c r="G104" s="55"/>
      <c r="H104" s="53" t="e">
        <f t="shared" si="5"/>
        <v>#DIV/0!</v>
      </c>
      <c r="I104" s="55"/>
      <c r="J104" s="55"/>
      <c r="K104" s="53">
        <f t="shared" si="4"/>
        <v>0</v>
      </c>
      <c r="L104" s="75" t="e">
        <f t="shared" si="3"/>
        <v>#DIV/0!</v>
      </c>
    </row>
    <row r="105" spans="1:12" s="16" customFormat="1" ht="15.75">
      <c r="A105" s="119"/>
      <c r="B105" s="119"/>
      <c r="C105" s="42"/>
      <c r="D105" s="26" t="s">
        <v>21</v>
      </c>
      <c r="E105" s="60">
        <f>SUM(E100:E104)</f>
        <v>0</v>
      </c>
      <c r="F105" s="60">
        <f>SUM(F100:F104)</f>
        <v>977933</v>
      </c>
      <c r="G105" s="60">
        <f>SUM(G100:G104)</f>
        <v>0</v>
      </c>
      <c r="H105" s="58">
        <f t="shared" si="5"/>
        <v>0</v>
      </c>
      <c r="I105" s="60">
        <f>SUM(I100:I104)</f>
        <v>80000</v>
      </c>
      <c r="J105" s="60">
        <f>SUM(J100:J104)</f>
        <v>0</v>
      </c>
      <c r="K105" s="58">
        <f t="shared" si="4"/>
        <v>-80000</v>
      </c>
      <c r="L105" s="76">
        <f t="shared" si="3"/>
        <v>0</v>
      </c>
    </row>
    <row r="106" spans="1:12" ht="15.75">
      <c r="A106" s="122" t="s">
        <v>107</v>
      </c>
      <c r="B106" s="116" t="s">
        <v>108</v>
      </c>
      <c r="C106" s="4" t="s">
        <v>77</v>
      </c>
      <c r="D106" s="23" t="s">
        <v>78</v>
      </c>
      <c r="E106" s="59"/>
      <c r="F106" s="55">
        <v>160</v>
      </c>
      <c r="G106" s="55"/>
      <c r="H106" s="53">
        <f t="shared" si="5"/>
        <v>0</v>
      </c>
      <c r="I106" s="55">
        <v>20</v>
      </c>
      <c r="J106" s="55"/>
      <c r="K106" s="53">
        <f t="shared" si="4"/>
        <v>-20</v>
      </c>
      <c r="L106" s="75">
        <f t="shared" si="3"/>
        <v>0</v>
      </c>
    </row>
    <row r="107" spans="1:12" ht="15.75">
      <c r="A107" s="122"/>
      <c r="B107" s="116"/>
      <c r="C107" s="4" t="s">
        <v>81</v>
      </c>
      <c r="D107" s="23" t="s">
        <v>82</v>
      </c>
      <c r="E107" s="59"/>
      <c r="F107" s="55"/>
      <c r="G107" s="55"/>
      <c r="H107" s="53" t="e">
        <f t="shared" si="5"/>
        <v>#DIV/0!</v>
      </c>
      <c r="I107" s="55"/>
      <c r="J107" s="55"/>
      <c r="K107" s="53">
        <f t="shared" si="4"/>
        <v>0</v>
      </c>
      <c r="L107" s="75" t="e">
        <f t="shared" si="3"/>
        <v>#DIV/0!</v>
      </c>
    </row>
    <row r="108" spans="1:12" ht="15.75">
      <c r="A108" s="122"/>
      <c r="B108" s="116"/>
      <c r="C108" s="4" t="s">
        <v>79</v>
      </c>
      <c r="D108" s="23" t="s">
        <v>117</v>
      </c>
      <c r="E108" s="59"/>
      <c r="F108" s="55"/>
      <c r="G108" s="55"/>
      <c r="H108" s="53" t="e">
        <f t="shared" si="5"/>
        <v>#DIV/0!</v>
      </c>
      <c r="I108" s="55"/>
      <c r="J108" s="55"/>
      <c r="K108" s="53">
        <f t="shared" si="4"/>
        <v>0</v>
      </c>
      <c r="L108" s="75" t="e">
        <f t="shared" si="3"/>
        <v>#DIV/0!</v>
      </c>
    </row>
    <row r="109" spans="1:12" ht="15.75">
      <c r="A109" s="122"/>
      <c r="B109" s="116"/>
      <c r="C109" s="4" t="s">
        <v>142</v>
      </c>
      <c r="D109" s="23" t="s">
        <v>153</v>
      </c>
      <c r="E109" s="59"/>
      <c r="F109" s="55">
        <v>477.7</v>
      </c>
      <c r="G109" s="55"/>
      <c r="H109" s="53">
        <f t="shared" si="5"/>
        <v>0</v>
      </c>
      <c r="I109" s="55">
        <f>67.5+207.7</f>
        <v>275.2</v>
      </c>
      <c r="J109" s="55"/>
      <c r="K109" s="53">
        <f t="shared" si="4"/>
        <v>-275.2</v>
      </c>
      <c r="L109" s="75">
        <f t="shared" si="3"/>
        <v>0</v>
      </c>
    </row>
    <row r="110" spans="1:12" ht="15.75">
      <c r="A110" s="122"/>
      <c r="B110" s="116"/>
      <c r="C110" s="4" t="s">
        <v>96</v>
      </c>
      <c r="D110" s="64" t="s">
        <v>141</v>
      </c>
      <c r="E110" s="59"/>
      <c r="F110" s="55"/>
      <c r="G110" s="55">
        <v>9340.498</v>
      </c>
      <c r="H110" s="53"/>
      <c r="I110" s="55"/>
      <c r="J110" s="55">
        <v>9340.498</v>
      </c>
      <c r="K110" s="53">
        <f t="shared" si="4"/>
        <v>9340.498</v>
      </c>
      <c r="L110" s="75"/>
    </row>
    <row r="111" spans="1:12" ht="15.75">
      <c r="A111" s="122"/>
      <c r="B111" s="116"/>
      <c r="C111" s="4" t="s">
        <v>83</v>
      </c>
      <c r="D111" s="23" t="s">
        <v>121</v>
      </c>
      <c r="E111" s="59">
        <v>6</v>
      </c>
      <c r="F111" s="55">
        <v>400</v>
      </c>
      <c r="G111" s="55"/>
      <c r="H111" s="53">
        <f t="shared" si="5"/>
        <v>0</v>
      </c>
      <c r="I111" s="55">
        <v>73</v>
      </c>
      <c r="J111" s="55"/>
      <c r="K111" s="53">
        <f t="shared" si="4"/>
        <v>-73</v>
      </c>
      <c r="L111" s="75">
        <f t="shared" si="3"/>
        <v>0</v>
      </c>
    </row>
    <row r="112" spans="1:12" s="69" customFormat="1" ht="15.75">
      <c r="A112" s="122"/>
      <c r="B112" s="116"/>
      <c r="C112" s="42"/>
      <c r="D112" s="26" t="s">
        <v>21</v>
      </c>
      <c r="E112" s="60">
        <f>SUM(E106:E111)</f>
        <v>6</v>
      </c>
      <c r="F112" s="60">
        <f>SUM(F106:F111)</f>
        <v>1037.7</v>
      </c>
      <c r="G112" s="60">
        <f>SUM(G106:G111)</f>
        <v>9340.498</v>
      </c>
      <c r="H112" s="58">
        <f t="shared" si="5"/>
        <v>900.1154476245542</v>
      </c>
      <c r="I112" s="60">
        <f>SUM(I106:I111)</f>
        <v>368.2</v>
      </c>
      <c r="J112" s="60">
        <f>SUM(J106:J111)</f>
        <v>9340.498</v>
      </c>
      <c r="K112" s="58">
        <f t="shared" si="4"/>
        <v>8972.297999999999</v>
      </c>
      <c r="L112" s="58">
        <f t="shared" si="3"/>
        <v>2536.8001086366107</v>
      </c>
    </row>
    <row r="113" spans="1:14" ht="31.5">
      <c r="A113" s="116" t="s">
        <v>29</v>
      </c>
      <c r="B113" s="116" t="s">
        <v>30</v>
      </c>
      <c r="C113" s="4" t="s">
        <v>31</v>
      </c>
      <c r="D113" s="23" t="s">
        <v>32</v>
      </c>
      <c r="E113" s="59">
        <v>28.5</v>
      </c>
      <c r="F113" s="55">
        <v>300</v>
      </c>
      <c r="G113" s="56">
        <f>22.5+13.5</f>
        <v>36</v>
      </c>
      <c r="H113" s="53">
        <f t="shared" si="5"/>
        <v>12</v>
      </c>
      <c r="I113" s="55">
        <v>75</v>
      </c>
      <c r="J113" s="56">
        <f>22.5+13.5</f>
        <v>36</v>
      </c>
      <c r="K113" s="53">
        <f t="shared" si="4"/>
        <v>-39</v>
      </c>
      <c r="L113" s="75">
        <f t="shared" si="3"/>
        <v>48</v>
      </c>
      <c r="M113" s="3"/>
      <c r="N113" s="3"/>
    </row>
    <row r="114" spans="1:14" ht="15.75">
      <c r="A114" s="116"/>
      <c r="B114" s="116"/>
      <c r="C114" s="4" t="s">
        <v>36</v>
      </c>
      <c r="D114" s="24" t="s">
        <v>37</v>
      </c>
      <c r="E114" s="59"/>
      <c r="F114" s="55"/>
      <c r="G114" s="56"/>
      <c r="H114" s="53" t="e">
        <f t="shared" si="5"/>
        <v>#DIV/0!</v>
      </c>
      <c r="I114" s="55"/>
      <c r="J114" s="56"/>
      <c r="K114" s="53">
        <f t="shared" si="4"/>
        <v>0</v>
      </c>
      <c r="L114" s="75" t="e">
        <f t="shared" si="3"/>
        <v>#DIV/0!</v>
      </c>
      <c r="M114" s="3"/>
      <c r="N114" s="3"/>
    </row>
    <row r="115" spans="1:14" ht="32.25" customHeight="1">
      <c r="A115" s="116"/>
      <c r="B115" s="116"/>
      <c r="C115" s="4" t="s">
        <v>34</v>
      </c>
      <c r="D115" s="23" t="s">
        <v>35</v>
      </c>
      <c r="E115" s="59">
        <v>2595.98334</v>
      </c>
      <c r="F115" s="55"/>
      <c r="G115" s="56"/>
      <c r="H115" s="53"/>
      <c r="I115" s="55"/>
      <c r="J115" s="56"/>
      <c r="K115" s="53">
        <f t="shared" si="4"/>
        <v>0</v>
      </c>
      <c r="L115" s="75"/>
      <c r="M115" s="3"/>
      <c r="N115" s="3"/>
    </row>
    <row r="116" spans="1:14" ht="31.5">
      <c r="A116" s="116"/>
      <c r="B116" s="116"/>
      <c r="C116" s="63" t="s">
        <v>128</v>
      </c>
      <c r="D116" s="64" t="s">
        <v>157</v>
      </c>
      <c r="E116" s="59"/>
      <c r="F116" s="55">
        <v>64330.2</v>
      </c>
      <c r="G116" s="56">
        <v>847.44398</v>
      </c>
      <c r="H116" s="53">
        <f t="shared" si="5"/>
        <v>1.317334595570976</v>
      </c>
      <c r="I116" s="55">
        <v>13000</v>
      </c>
      <c r="J116" s="56">
        <v>847.44398</v>
      </c>
      <c r="K116" s="53">
        <f t="shared" si="4"/>
        <v>-12152.55602</v>
      </c>
      <c r="L116" s="75">
        <f t="shared" si="3"/>
        <v>6.518799846153846</v>
      </c>
      <c r="M116" s="3"/>
      <c r="N116" s="3"/>
    </row>
    <row r="117" spans="1:14" ht="31.5">
      <c r="A117" s="116"/>
      <c r="B117" s="116"/>
      <c r="C117" s="4" t="s">
        <v>114</v>
      </c>
      <c r="D117" s="25" t="s">
        <v>119</v>
      </c>
      <c r="E117" s="59"/>
      <c r="F117" s="55"/>
      <c r="G117" s="55"/>
      <c r="H117" s="53" t="e">
        <f t="shared" si="5"/>
        <v>#DIV/0!</v>
      </c>
      <c r="I117" s="55"/>
      <c r="J117" s="55"/>
      <c r="K117" s="53">
        <f t="shared" si="4"/>
        <v>0</v>
      </c>
      <c r="L117" s="75" t="e">
        <f t="shared" si="3"/>
        <v>#DIV/0!</v>
      </c>
      <c r="M117" s="3"/>
      <c r="N117" s="3"/>
    </row>
    <row r="118" spans="1:14" ht="15.75">
      <c r="A118" s="116"/>
      <c r="B118" s="116"/>
      <c r="C118" s="4" t="s">
        <v>77</v>
      </c>
      <c r="D118" s="23" t="s">
        <v>78</v>
      </c>
      <c r="E118" s="59"/>
      <c r="F118" s="55"/>
      <c r="G118" s="55"/>
      <c r="H118" s="53" t="e">
        <f t="shared" si="5"/>
        <v>#DIV/0!</v>
      </c>
      <c r="I118" s="55"/>
      <c r="J118" s="55"/>
      <c r="K118" s="53">
        <f t="shared" si="4"/>
        <v>0</v>
      </c>
      <c r="L118" s="75" t="e">
        <f t="shared" si="3"/>
        <v>#DIV/0!</v>
      </c>
      <c r="M118" s="3"/>
      <c r="N118" s="3"/>
    </row>
    <row r="119" spans="1:14" ht="15.75">
      <c r="A119" s="116"/>
      <c r="B119" s="116"/>
      <c r="C119" s="4" t="s">
        <v>81</v>
      </c>
      <c r="D119" s="23" t="s">
        <v>82</v>
      </c>
      <c r="E119" s="59">
        <v>119.41497</v>
      </c>
      <c r="F119" s="55"/>
      <c r="G119" s="55">
        <v>110.8395</v>
      </c>
      <c r="H119" s="53"/>
      <c r="I119" s="55"/>
      <c r="J119" s="55">
        <v>110.8395</v>
      </c>
      <c r="K119" s="53">
        <f t="shared" si="4"/>
        <v>110.8395</v>
      </c>
      <c r="L119" s="75"/>
      <c r="M119" s="3"/>
      <c r="N119" s="3"/>
    </row>
    <row r="120" spans="1:14" ht="15.75">
      <c r="A120" s="116"/>
      <c r="B120" s="116"/>
      <c r="C120" s="4" t="s">
        <v>142</v>
      </c>
      <c r="D120" s="23" t="s">
        <v>151</v>
      </c>
      <c r="E120" s="59"/>
      <c r="F120" s="55">
        <v>275.4</v>
      </c>
      <c r="G120" s="55"/>
      <c r="H120" s="53">
        <f t="shared" si="5"/>
        <v>0</v>
      </c>
      <c r="I120" s="55">
        <v>66.41</v>
      </c>
      <c r="J120" s="55"/>
      <c r="K120" s="53">
        <f t="shared" si="4"/>
        <v>-66.41</v>
      </c>
      <c r="L120" s="75">
        <f t="shared" si="3"/>
        <v>0</v>
      </c>
      <c r="M120" s="3"/>
      <c r="N120" s="3"/>
    </row>
    <row r="121" spans="1:14" s="69" customFormat="1" ht="15.75">
      <c r="A121" s="116"/>
      <c r="B121" s="116"/>
      <c r="C121" s="15"/>
      <c r="D121" s="26" t="s">
        <v>21</v>
      </c>
      <c r="E121" s="60">
        <f>SUM(E113:E120)</f>
        <v>2743.89831</v>
      </c>
      <c r="F121" s="60">
        <f>SUM(F113:F120)</f>
        <v>64905.6</v>
      </c>
      <c r="G121" s="60">
        <f>SUM(G113:G120)</f>
        <v>994.28348</v>
      </c>
      <c r="H121" s="58">
        <f t="shared" si="5"/>
        <v>1.5318916703643446</v>
      </c>
      <c r="I121" s="60">
        <f>SUM(I113:I120)</f>
        <v>13141.41</v>
      </c>
      <c r="J121" s="60">
        <f>SUM(J113:J120)</f>
        <v>994.28348</v>
      </c>
      <c r="K121" s="58">
        <f t="shared" si="4"/>
        <v>-12147.12652</v>
      </c>
      <c r="L121" s="58">
        <f t="shared" si="3"/>
        <v>7.566033477381803</v>
      </c>
      <c r="M121" s="38"/>
      <c r="N121" s="38"/>
    </row>
    <row r="122" spans="1:14" ht="31.5">
      <c r="A122" s="122" t="s">
        <v>106</v>
      </c>
      <c r="B122" s="116" t="s">
        <v>145</v>
      </c>
      <c r="C122" s="4" t="s">
        <v>114</v>
      </c>
      <c r="D122" s="25" t="s">
        <v>119</v>
      </c>
      <c r="E122" s="59"/>
      <c r="F122" s="55"/>
      <c r="G122" s="55"/>
      <c r="H122" s="53" t="e">
        <f t="shared" si="5"/>
        <v>#DIV/0!</v>
      </c>
      <c r="I122" s="55"/>
      <c r="J122" s="55"/>
      <c r="K122" s="53">
        <f t="shared" si="4"/>
        <v>0</v>
      </c>
      <c r="L122" s="75" t="e">
        <f t="shared" si="3"/>
        <v>#DIV/0!</v>
      </c>
      <c r="M122" s="3"/>
      <c r="N122" s="3"/>
    </row>
    <row r="123" spans="1:14" ht="15.75">
      <c r="A123" s="122"/>
      <c r="B123" s="116"/>
      <c r="C123" s="4" t="s">
        <v>77</v>
      </c>
      <c r="D123" s="23" t="s">
        <v>78</v>
      </c>
      <c r="E123" s="59"/>
      <c r="F123" s="55"/>
      <c r="G123" s="55"/>
      <c r="H123" s="53" t="e">
        <f t="shared" si="5"/>
        <v>#DIV/0!</v>
      </c>
      <c r="I123" s="55"/>
      <c r="J123" s="55"/>
      <c r="K123" s="53">
        <f t="shared" si="4"/>
        <v>0</v>
      </c>
      <c r="L123" s="75" t="e">
        <f t="shared" si="3"/>
        <v>#DIV/0!</v>
      </c>
      <c r="M123" s="3"/>
      <c r="N123" s="3"/>
    </row>
    <row r="124" spans="1:14" ht="15.75">
      <c r="A124" s="122"/>
      <c r="B124" s="116"/>
      <c r="C124" s="4" t="s">
        <v>81</v>
      </c>
      <c r="D124" s="23" t="s">
        <v>82</v>
      </c>
      <c r="E124" s="59"/>
      <c r="F124" s="55"/>
      <c r="G124" s="55"/>
      <c r="H124" s="53" t="e">
        <f t="shared" si="5"/>
        <v>#DIV/0!</v>
      </c>
      <c r="I124" s="55"/>
      <c r="J124" s="55"/>
      <c r="K124" s="53">
        <f t="shared" si="4"/>
        <v>0</v>
      </c>
      <c r="L124" s="75" t="e">
        <f t="shared" si="3"/>
        <v>#DIV/0!</v>
      </c>
      <c r="M124" s="3"/>
      <c r="N124" s="3"/>
    </row>
    <row r="125" spans="1:14" ht="15.75">
      <c r="A125" s="122"/>
      <c r="B125" s="116"/>
      <c r="C125" s="4" t="s">
        <v>142</v>
      </c>
      <c r="D125" s="23" t="s">
        <v>151</v>
      </c>
      <c r="E125" s="59"/>
      <c r="F125" s="55">
        <v>3498.1</v>
      </c>
      <c r="G125" s="55">
        <v>485</v>
      </c>
      <c r="H125" s="53">
        <f t="shared" si="5"/>
        <v>13.864669391955633</v>
      </c>
      <c r="I125" s="55">
        <v>1373.9</v>
      </c>
      <c r="J125" s="55">
        <v>485</v>
      </c>
      <c r="K125" s="53">
        <f t="shared" si="4"/>
        <v>-888.9000000000001</v>
      </c>
      <c r="L125" s="75">
        <f t="shared" si="3"/>
        <v>35.30096804716501</v>
      </c>
      <c r="M125" s="3"/>
      <c r="N125" s="3"/>
    </row>
    <row r="126" spans="1:14" ht="15.75">
      <c r="A126" s="122"/>
      <c r="B126" s="116"/>
      <c r="C126" s="4" t="s">
        <v>83</v>
      </c>
      <c r="D126" s="23" t="s">
        <v>121</v>
      </c>
      <c r="E126" s="59"/>
      <c r="F126" s="55">
        <v>430.8</v>
      </c>
      <c r="G126" s="55"/>
      <c r="H126" s="53">
        <f t="shared" si="5"/>
        <v>0</v>
      </c>
      <c r="I126" s="55">
        <v>53</v>
      </c>
      <c r="J126" s="55"/>
      <c r="K126" s="53">
        <f t="shared" si="4"/>
        <v>-53</v>
      </c>
      <c r="L126" s="75">
        <f t="shared" si="3"/>
        <v>0</v>
      </c>
      <c r="M126" s="3"/>
      <c r="N126" s="3"/>
    </row>
    <row r="127" spans="1:14" s="69" customFormat="1" ht="15.75">
      <c r="A127" s="122"/>
      <c r="B127" s="116"/>
      <c r="C127" s="42"/>
      <c r="D127" s="26" t="s">
        <v>21</v>
      </c>
      <c r="E127" s="60">
        <f>SUM(E122:E126)</f>
        <v>0</v>
      </c>
      <c r="F127" s="60">
        <f>SUM(F122:F126)</f>
        <v>3928.9</v>
      </c>
      <c r="G127" s="60">
        <f>SUM(G122:G126)</f>
        <v>485</v>
      </c>
      <c r="H127" s="58">
        <f t="shared" si="5"/>
        <v>12.344422102878667</v>
      </c>
      <c r="I127" s="60">
        <f>SUM(I122:I126)</f>
        <v>1426.9</v>
      </c>
      <c r="J127" s="60">
        <f>SUM(J122:J126)</f>
        <v>485</v>
      </c>
      <c r="K127" s="58">
        <f t="shared" si="4"/>
        <v>-941.9000000000001</v>
      </c>
      <c r="L127" s="58">
        <f t="shared" si="3"/>
        <v>33.98976802859345</v>
      </c>
      <c r="M127" s="38"/>
      <c r="N127" s="38"/>
    </row>
    <row r="128" spans="1:14" ht="15.75">
      <c r="A128" s="122" t="s">
        <v>101</v>
      </c>
      <c r="B128" s="116" t="s">
        <v>102</v>
      </c>
      <c r="C128" s="4" t="s">
        <v>83</v>
      </c>
      <c r="D128" s="23" t="s">
        <v>121</v>
      </c>
      <c r="E128" s="59"/>
      <c r="F128" s="55">
        <v>3551.2</v>
      </c>
      <c r="G128" s="55">
        <v>36.665</v>
      </c>
      <c r="H128" s="53">
        <f t="shared" si="5"/>
        <v>1.0324678981752646</v>
      </c>
      <c r="I128" s="55">
        <v>473.15</v>
      </c>
      <c r="J128" s="55">
        <v>36.665</v>
      </c>
      <c r="K128" s="53">
        <f t="shared" si="4"/>
        <v>-436.48499999999996</v>
      </c>
      <c r="L128" s="75">
        <f t="shared" si="3"/>
        <v>7.749128183451337</v>
      </c>
      <c r="M128" s="3"/>
      <c r="N128" s="3"/>
    </row>
    <row r="129" spans="1:14" s="69" customFormat="1" ht="15.75">
      <c r="A129" s="122"/>
      <c r="B129" s="116"/>
      <c r="C129" s="42"/>
      <c r="D129" s="26" t="s">
        <v>21</v>
      </c>
      <c r="E129" s="60">
        <f>SUM(E128)</f>
        <v>0</v>
      </c>
      <c r="F129" s="60">
        <f>SUM(F128)</f>
        <v>3551.2</v>
      </c>
      <c r="G129" s="60">
        <f>SUM(G128)</f>
        <v>36.665</v>
      </c>
      <c r="H129" s="58">
        <f t="shared" si="5"/>
        <v>1.0324678981752646</v>
      </c>
      <c r="I129" s="60">
        <f>SUM(I128)</f>
        <v>473.15</v>
      </c>
      <c r="J129" s="60">
        <f>SUM(J128)</f>
        <v>36.665</v>
      </c>
      <c r="K129" s="58">
        <f t="shared" si="4"/>
        <v>-436.48499999999996</v>
      </c>
      <c r="L129" s="58">
        <f t="shared" si="3"/>
        <v>7.749128183451337</v>
      </c>
      <c r="M129" s="38"/>
      <c r="N129" s="38"/>
    </row>
    <row r="130" spans="1:14" ht="63">
      <c r="A130" s="114" t="s">
        <v>50</v>
      </c>
      <c r="B130" s="116" t="s">
        <v>51</v>
      </c>
      <c r="C130" s="63" t="s">
        <v>132</v>
      </c>
      <c r="D130" s="65" t="s">
        <v>161</v>
      </c>
      <c r="E130" s="55">
        <f>2648.71946+332.8106</f>
        <v>2981.53006</v>
      </c>
      <c r="F130" s="55">
        <v>725775</v>
      </c>
      <c r="G130" s="56">
        <f>10895.0132+700.62208</f>
        <v>11595.635279999999</v>
      </c>
      <c r="H130" s="53">
        <f t="shared" si="5"/>
        <v>1.597690094037408</v>
      </c>
      <c r="I130" s="55">
        <v>43546.5</v>
      </c>
      <c r="J130" s="56">
        <f>10895.0132+700.62208</f>
        <v>11595.635279999999</v>
      </c>
      <c r="K130" s="53">
        <f t="shared" si="4"/>
        <v>-31950.86472</v>
      </c>
      <c r="L130" s="75">
        <f t="shared" si="3"/>
        <v>26.6281682339568</v>
      </c>
      <c r="M130" s="3"/>
      <c r="N130" s="3"/>
    </row>
    <row r="131" spans="1:14" ht="63">
      <c r="A131" s="114"/>
      <c r="B131" s="116"/>
      <c r="C131" s="4" t="s">
        <v>52</v>
      </c>
      <c r="D131" s="23" t="s">
        <v>53</v>
      </c>
      <c r="E131" s="55"/>
      <c r="F131" s="55"/>
      <c r="G131" s="61"/>
      <c r="H131" s="53" t="e">
        <f t="shared" si="5"/>
        <v>#DIV/0!</v>
      </c>
      <c r="I131" s="55"/>
      <c r="J131" s="61"/>
      <c r="K131" s="53">
        <f t="shared" si="4"/>
        <v>0</v>
      </c>
      <c r="L131" s="75" t="e">
        <f t="shared" si="3"/>
        <v>#DIV/0!</v>
      </c>
      <c r="M131" s="3"/>
      <c r="N131" s="3"/>
    </row>
    <row r="132" spans="1:14" ht="31.5">
      <c r="A132" s="114"/>
      <c r="B132" s="115"/>
      <c r="C132" s="4" t="s">
        <v>54</v>
      </c>
      <c r="D132" s="23" t="s">
        <v>109</v>
      </c>
      <c r="E132" s="55"/>
      <c r="F132" s="55">
        <v>13857</v>
      </c>
      <c r="G132" s="56"/>
      <c r="H132" s="53">
        <f t="shared" si="5"/>
        <v>0</v>
      </c>
      <c r="I132" s="55"/>
      <c r="J132" s="56"/>
      <c r="K132" s="53">
        <f t="shared" si="4"/>
        <v>0</v>
      </c>
      <c r="L132" s="75"/>
      <c r="M132" s="3"/>
      <c r="N132" s="3"/>
    </row>
    <row r="133" spans="1:14" ht="47.25">
      <c r="A133" s="114"/>
      <c r="B133" s="115"/>
      <c r="C133" s="63" t="s">
        <v>134</v>
      </c>
      <c r="D133" s="64" t="s">
        <v>135</v>
      </c>
      <c r="E133" s="55">
        <v>1255.4</v>
      </c>
      <c r="F133" s="55">
        <v>244382.8</v>
      </c>
      <c r="G133" s="56">
        <v>11133.62045</v>
      </c>
      <c r="H133" s="53">
        <f t="shared" si="5"/>
        <v>4.555811804267732</v>
      </c>
      <c r="I133" s="55">
        <v>63539.528</v>
      </c>
      <c r="J133" s="56">
        <v>11133.62045</v>
      </c>
      <c r="K133" s="53">
        <f t="shared" si="4"/>
        <v>-52405.907549999996</v>
      </c>
      <c r="L133" s="75">
        <f>J133/I133*100</f>
        <v>17.52235309333743</v>
      </c>
      <c r="M133" s="3"/>
      <c r="N133" s="3"/>
    </row>
    <row r="134" spans="1:14" ht="15.75">
      <c r="A134" s="114"/>
      <c r="B134" s="115"/>
      <c r="C134" s="4" t="s">
        <v>81</v>
      </c>
      <c r="D134" s="23" t="s">
        <v>82</v>
      </c>
      <c r="E134" s="55">
        <v>1896.73652</v>
      </c>
      <c r="F134" s="55"/>
      <c r="G134" s="56">
        <v>3714.42047</v>
      </c>
      <c r="H134" s="53"/>
      <c r="I134" s="55"/>
      <c r="J134" s="56">
        <v>3714.42047</v>
      </c>
      <c r="K134" s="53">
        <f aca="true" t="shared" si="6" ref="K134:K197">J134-I134</f>
        <v>3714.42047</v>
      </c>
      <c r="L134" s="75"/>
      <c r="M134" s="3"/>
      <c r="N134" s="3"/>
    </row>
    <row r="135" spans="1:14" s="16" customFormat="1" ht="15.75">
      <c r="A135" s="115"/>
      <c r="B135" s="115"/>
      <c r="C135" s="32"/>
      <c r="D135" s="26" t="s">
        <v>21</v>
      </c>
      <c r="E135" s="60">
        <f>SUM(E130:E134)</f>
        <v>6133.666580000001</v>
      </c>
      <c r="F135" s="60">
        <f>SUM(F130:F134)</f>
        <v>984014.8</v>
      </c>
      <c r="G135" s="60">
        <f>SUM(G130:G134)</f>
        <v>26443.676199999998</v>
      </c>
      <c r="H135" s="58">
        <f t="shared" si="5"/>
        <v>2.6873250483630935</v>
      </c>
      <c r="I135" s="60">
        <f>SUM(I130:I134)</f>
        <v>107086.02799999999</v>
      </c>
      <c r="J135" s="60">
        <f>SUM(J130:J134)</f>
        <v>26443.676199999998</v>
      </c>
      <c r="K135" s="58">
        <f t="shared" si="6"/>
        <v>-80642.35179999999</v>
      </c>
      <c r="L135" s="76">
        <f>J135/I135*100</f>
        <v>24.693862209549877</v>
      </c>
      <c r="M135" s="38"/>
      <c r="N135" s="38"/>
    </row>
    <row r="136" spans="1:14" ht="31.5">
      <c r="A136" s="116"/>
      <c r="B136" s="116" t="s">
        <v>76</v>
      </c>
      <c r="C136" s="4" t="s">
        <v>114</v>
      </c>
      <c r="D136" s="25" t="s">
        <v>119</v>
      </c>
      <c r="E136" s="59">
        <v>25.795</v>
      </c>
      <c r="F136" s="55"/>
      <c r="G136" s="55"/>
      <c r="H136" s="53"/>
      <c r="I136" s="55"/>
      <c r="J136" s="55"/>
      <c r="K136" s="53">
        <f t="shared" si="6"/>
        <v>0</v>
      </c>
      <c r="L136" s="75"/>
      <c r="M136" s="3"/>
      <c r="N136" s="3"/>
    </row>
    <row r="137" spans="1:14" ht="15.75">
      <c r="A137" s="116"/>
      <c r="B137" s="116"/>
      <c r="C137" s="4" t="s">
        <v>77</v>
      </c>
      <c r="D137" s="23" t="s">
        <v>78</v>
      </c>
      <c r="E137" s="59">
        <f>2+2.1+173.72501+710.37947+4.1+12.3+8.5+599.13</f>
        <v>1512.23448</v>
      </c>
      <c r="F137" s="55">
        <f>452.5+217+1500+5+8000+13200+1610+1300+8880.6</f>
        <v>35165.1</v>
      </c>
      <c r="G137" s="55">
        <f>891.83177+1064.39371</f>
        <v>1956.22548</v>
      </c>
      <c r="H137" s="53">
        <f aca="true" t="shared" si="7" ref="H137:H198">G137/F137*100</f>
        <v>5.562974312599708</v>
      </c>
      <c r="I137" s="55">
        <v>7206.49</v>
      </c>
      <c r="J137" s="55">
        <f>891.83177+1064.39371</f>
        <v>1956.22548</v>
      </c>
      <c r="K137" s="53">
        <f t="shared" si="6"/>
        <v>-5250.26452</v>
      </c>
      <c r="L137" s="75">
        <f>J137/I137*100</f>
        <v>27.145329834635174</v>
      </c>
      <c r="M137" s="3"/>
      <c r="N137" s="3"/>
    </row>
    <row r="138" spans="1:14" ht="15.75">
      <c r="A138" s="116"/>
      <c r="B138" s="116"/>
      <c r="C138" s="4" t="s">
        <v>81</v>
      </c>
      <c r="D138" s="23" t="s">
        <v>82</v>
      </c>
      <c r="E138" s="59">
        <v>190.49067</v>
      </c>
      <c r="F138" s="55"/>
      <c r="G138" s="55"/>
      <c r="H138" s="53"/>
      <c r="I138" s="55"/>
      <c r="J138" s="55"/>
      <c r="K138" s="53">
        <f t="shared" si="6"/>
        <v>0</v>
      </c>
      <c r="L138" s="75"/>
      <c r="M138" s="3"/>
      <c r="N138" s="3"/>
    </row>
    <row r="139" spans="1:14" ht="15.75">
      <c r="A139" s="119"/>
      <c r="B139" s="119"/>
      <c r="C139" s="4" t="s">
        <v>79</v>
      </c>
      <c r="D139" s="23" t="s">
        <v>80</v>
      </c>
      <c r="E139" s="59"/>
      <c r="F139" s="55"/>
      <c r="G139" s="55"/>
      <c r="H139" s="53" t="e">
        <f t="shared" si="7"/>
        <v>#DIV/0!</v>
      </c>
      <c r="I139" s="55"/>
      <c r="J139" s="55"/>
      <c r="K139" s="53">
        <f t="shared" si="6"/>
        <v>0</v>
      </c>
      <c r="L139" s="75" t="e">
        <f>J139/I139*100</f>
        <v>#DIV/0!</v>
      </c>
      <c r="M139" s="3"/>
      <c r="N139" s="3"/>
    </row>
    <row r="140" spans="1:14" ht="15.75">
      <c r="A140" s="119"/>
      <c r="B140" s="119"/>
      <c r="C140" s="4" t="s">
        <v>87</v>
      </c>
      <c r="D140" s="23" t="s">
        <v>152</v>
      </c>
      <c r="E140" s="59"/>
      <c r="F140" s="55">
        <v>12870</v>
      </c>
      <c r="G140" s="55"/>
      <c r="H140" s="53">
        <f t="shared" si="7"/>
        <v>0</v>
      </c>
      <c r="I140" s="55"/>
      <c r="J140" s="55"/>
      <c r="K140" s="53">
        <f t="shared" si="6"/>
        <v>0</v>
      </c>
      <c r="L140" s="75"/>
      <c r="M140" s="3"/>
      <c r="N140" s="3"/>
    </row>
    <row r="141" spans="1:14" ht="15.75">
      <c r="A141" s="119"/>
      <c r="B141" s="119"/>
      <c r="C141" s="4" t="s">
        <v>142</v>
      </c>
      <c r="D141" s="23" t="s">
        <v>151</v>
      </c>
      <c r="E141" s="59"/>
      <c r="F141" s="55">
        <f>32753.2+7811</f>
        <v>40564.2</v>
      </c>
      <c r="G141" s="55">
        <v>1918.8</v>
      </c>
      <c r="H141" s="53">
        <f t="shared" si="7"/>
        <v>4.730279408936944</v>
      </c>
      <c r="I141" s="55">
        <f>8182.025+1923.428</f>
        <v>10105.453</v>
      </c>
      <c r="J141" s="55">
        <v>1918.8</v>
      </c>
      <c r="K141" s="53">
        <f t="shared" si="6"/>
        <v>-8186.652999999999</v>
      </c>
      <c r="L141" s="75">
        <f>J141/I141*100</f>
        <v>18.987768287082233</v>
      </c>
      <c r="M141" s="3"/>
      <c r="N141" s="3"/>
    </row>
    <row r="142" spans="1:14" ht="15.75">
      <c r="A142" s="119"/>
      <c r="B142" s="119"/>
      <c r="C142" s="4" t="s">
        <v>83</v>
      </c>
      <c r="D142" s="23" t="s">
        <v>121</v>
      </c>
      <c r="E142" s="59"/>
      <c r="F142" s="55"/>
      <c r="G142" s="55"/>
      <c r="H142" s="53"/>
      <c r="I142" s="55"/>
      <c r="J142" s="55"/>
      <c r="K142" s="53">
        <f t="shared" si="6"/>
        <v>0</v>
      </c>
      <c r="L142" s="75"/>
      <c r="M142" s="3"/>
      <c r="N142" s="3"/>
    </row>
    <row r="143" spans="1:14" s="16" customFormat="1" ht="15.75">
      <c r="A143" s="119"/>
      <c r="B143" s="119"/>
      <c r="C143" s="32"/>
      <c r="D143" s="26" t="s">
        <v>21</v>
      </c>
      <c r="E143" s="60">
        <f>SUM(E136:E142)</f>
        <v>1728.52015</v>
      </c>
      <c r="F143" s="60">
        <f>SUM(F136:F142)</f>
        <v>88599.29999999999</v>
      </c>
      <c r="G143" s="60">
        <f>SUM(G136:G142)</f>
        <v>3875.0254800000002</v>
      </c>
      <c r="H143" s="58">
        <f t="shared" si="7"/>
        <v>4.373652478066983</v>
      </c>
      <c r="I143" s="60">
        <f>SUM(I136:I142)</f>
        <v>17311.943</v>
      </c>
      <c r="J143" s="60">
        <f>SUM(J136:J142)</f>
        <v>3875.0254800000002</v>
      </c>
      <c r="K143" s="58">
        <f t="shared" si="6"/>
        <v>-13436.917519999999</v>
      </c>
      <c r="L143" s="76">
        <f>J143/I143*100</f>
        <v>22.38353880901757</v>
      </c>
      <c r="M143" s="38"/>
      <c r="N143" s="38"/>
    </row>
    <row r="144" spans="1:14" s="16" customFormat="1" ht="24" customHeight="1">
      <c r="A144" s="20"/>
      <c r="B144" s="20"/>
      <c r="C144" s="32"/>
      <c r="D144" s="17" t="s">
        <v>92</v>
      </c>
      <c r="E144" s="60">
        <f>E18+E27+E34+E37+E40+E52+E59+E64+E74+E77+E85+E92+E99+E105+E112+E121+E127+E129+E135+E143</f>
        <v>804013.5014899999</v>
      </c>
      <c r="F144" s="60">
        <f>F18+F27+F34+F37+F40+F52+F59+F64+F74+F77+F85+F92+F99+F105+F112+F121+F127+F129+F135+F143</f>
        <v>15687079.8</v>
      </c>
      <c r="G144" s="60">
        <f>G18+G27+G34+G37+G40+G52+G59+G64+G74+G77+G85+G92+G99+G105+G112+G121+G127+G129+G135+G143</f>
        <v>967208.0939800001</v>
      </c>
      <c r="H144" s="57">
        <f t="shared" si="7"/>
        <v>6.165635072373381</v>
      </c>
      <c r="I144" s="60">
        <f>I18+I27+I34+I37+I40+I52+I59+I64+I74+I77+I85+I92+I99+I105+I112+I121+I127+I129+I135+I143</f>
        <v>3022010.8310000007</v>
      </c>
      <c r="J144" s="60">
        <f>J18+J27+J34+J37+J40+J52+J59+J64+J74+J77+J85+J92+J99+J105+J112+J121+J127+J129+J135+J143</f>
        <v>967208.0939800001</v>
      </c>
      <c r="K144" s="57">
        <f t="shared" si="6"/>
        <v>-2054802.7370200006</v>
      </c>
      <c r="L144" s="78">
        <f>J144/I144*100</f>
        <v>32.00544763302339</v>
      </c>
      <c r="M144" s="38"/>
      <c r="N144" s="38"/>
    </row>
    <row r="145" spans="1:14" ht="24" customHeight="1">
      <c r="A145" s="21"/>
      <c r="B145" s="21"/>
      <c r="C145" s="47"/>
      <c r="D145" s="48"/>
      <c r="E145" s="73"/>
      <c r="F145" s="71"/>
      <c r="G145" s="71"/>
      <c r="H145" s="71"/>
      <c r="I145" s="71"/>
      <c r="J145" s="71"/>
      <c r="K145" s="71"/>
      <c r="L145" s="79"/>
      <c r="M145" s="3"/>
      <c r="N145" s="3"/>
    </row>
    <row r="146" spans="1:14" s="16" customFormat="1" ht="31.5">
      <c r="A146" s="35"/>
      <c r="B146" s="36"/>
      <c r="C146" s="22"/>
      <c r="D146" s="27" t="s">
        <v>93</v>
      </c>
      <c r="E146" s="62">
        <f>E149</f>
        <v>0</v>
      </c>
      <c r="F146" s="62">
        <f>F149</f>
        <v>1598.9</v>
      </c>
      <c r="G146" s="62">
        <f>G149</f>
        <v>0</v>
      </c>
      <c r="H146" s="57">
        <f>G146/F146*100</f>
        <v>0</v>
      </c>
      <c r="I146" s="62">
        <f>I149</f>
        <v>0</v>
      </c>
      <c r="J146" s="62">
        <f>J149</f>
        <v>0</v>
      </c>
      <c r="K146" s="57">
        <f>J146-I146</f>
        <v>0</v>
      </c>
      <c r="L146" s="78"/>
      <c r="M146" s="38"/>
      <c r="N146" s="38"/>
    </row>
    <row r="147" spans="1:14" ht="15.75">
      <c r="A147" s="114" t="s">
        <v>38</v>
      </c>
      <c r="B147" s="120" t="s">
        <v>39</v>
      </c>
      <c r="C147" s="4" t="s">
        <v>94</v>
      </c>
      <c r="D147" s="23" t="s">
        <v>95</v>
      </c>
      <c r="E147" s="56"/>
      <c r="F147" s="56"/>
      <c r="G147" s="56"/>
      <c r="H147" s="53"/>
      <c r="I147" s="56"/>
      <c r="J147" s="56"/>
      <c r="K147" s="53">
        <f>J147-I147</f>
        <v>0</v>
      </c>
      <c r="L147" s="75"/>
      <c r="M147" s="3"/>
      <c r="N147" s="3"/>
    </row>
    <row r="148" spans="1:14" ht="31.5">
      <c r="A148" s="114"/>
      <c r="B148" s="120"/>
      <c r="C148" s="63" t="s">
        <v>136</v>
      </c>
      <c r="D148" s="64" t="s">
        <v>140</v>
      </c>
      <c r="E148" s="56"/>
      <c r="F148" s="56">
        <v>1598.9</v>
      </c>
      <c r="G148" s="56"/>
      <c r="H148" s="53">
        <f>G148/F148*100</f>
        <v>0</v>
      </c>
      <c r="I148" s="56"/>
      <c r="J148" s="56"/>
      <c r="K148" s="53">
        <f>J148-I148</f>
        <v>0</v>
      </c>
      <c r="L148" s="75"/>
      <c r="M148" s="3"/>
      <c r="N148" s="3"/>
    </row>
    <row r="149" spans="1:14" s="16" customFormat="1" ht="18.75">
      <c r="A149" s="115"/>
      <c r="B149" s="121"/>
      <c r="C149" s="22"/>
      <c r="D149" s="26" t="s">
        <v>21</v>
      </c>
      <c r="E149" s="62">
        <f>SUM(E147:E148)</f>
        <v>0</v>
      </c>
      <c r="F149" s="62">
        <f>SUM(F147:F148)</f>
        <v>1598.9</v>
      </c>
      <c r="G149" s="62">
        <f>SUM(G147:G148)</f>
        <v>0</v>
      </c>
      <c r="H149" s="58">
        <f>G149/F149*100</f>
        <v>0</v>
      </c>
      <c r="I149" s="80">
        <f>SUM(I147:I148)</f>
        <v>0</v>
      </c>
      <c r="J149" s="62">
        <f>SUM(J147:J148)</f>
        <v>0</v>
      </c>
      <c r="K149" s="58">
        <f>J149-I149</f>
        <v>0</v>
      </c>
      <c r="L149" s="76"/>
      <c r="M149" s="38"/>
      <c r="N149" s="38"/>
    </row>
    <row r="150" spans="1:14" ht="24" customHeight="1">
      <c r="A150" s="21"/>
      <c r="B150" s="21"/>
      <c r="C150" s="47"/>
      <c r="D150" s="48"/>
      <c r="E150" s="70"/>
      <c r="F150" s="71"/>
      <c r="G150" s="72"/>
      <c r="H150" s="71"/>
      <c r="I150" s="71"/>
      <c r="J150" s="71"/>
      <c r="K150" s="71"/>
      <c r="L150" s="79"/>
      <c r="M150" s="3"/>
      <c r="N150" s="3"/>
    </row>
    <row r="151" spans="1:14" ht="24" customHeight="1">
      <c r="A151" s="21"/>
      <c r="B151" s="21"/>
      <c r="C151" s="47"/>
      <c r="D151" s="48" t="s">
        <v>123</v>
      </c>
      <c r="E151" s="70"/>
      <c r="F151" s="71"/>
      <c r="G151" s="72"/>
      <c r="H151" s="71"/>
      <c r="I151" s="71"/>
      <c r="J151" s="71"/>
      <c r="K151" s="71"/>
      <c r="L151" s="79"/>
      <c r="M151" s="3"/>
      <c r="N151" s="3"/>
    </row>
    <row r="152" spans="1:14" ht="24" customHeight="1">
      <c r="A152" s="21"/>
      <c r="B152" s="21"/>
      <c r="C152" s="47"/>
      <c r="D152" s="48"/>
      <c r="E152" s="70"/>
      <c r="F152" s="71"/>
      <c r="G152" s="72"/>
      <c r="H152" s="71"/>
      <c r="I152" s="71"/>
      <c r="J152" s="71"/>
      <c r="K152" s="71"/>
      <c r="L152" s="79"/>
      <c r="M152" s="3"/>
      <c r="N152" s="3"/>
    </row>
    <row r="153" spans="1:14" s="16" customFormat="1" ht="15.75">
      <c r="A153" s="20"/>
      <c r="B153" s="20"/>
      <c r="C153" s="32"/>
      <c r="D153" s="27" t="s">
        <v>6</v>
      </c>
      <c r="E153" s="60">
        <f>SUM(E154:E163)</f>
        <v>393837.33363</v>
      </c>
      <c r="F153" s="60">
        <f>SUM(F154:F163)</f>
        <v>7866887.7</v>
      </c>
      <c r="G153" s="60">
        <f>SUM(G154:G163)</f>
        <v>551092.47085</v>
      </c>
      <c r="H153" s="57">
        <f t="shared" si="7"/>
        <v>7.005215936284434</v>
      </c>
      <c r="I153" s="60">
        <f>SUM(I154:I163)</f>
        <v>1560034.7200000002</v>
      </c>
      <c r="J153" s="60">
        <f>SUM(J154:J163)</f>
        <v>551092.47085</v>
      </c>
      <c r="K153" s="57">
        <f t="shared" si="6"/>
        <v>-1008942.2491500002</v>
      </c>
      <c r="L153" s="78">
        <f aca="true" t="shared" si="8" ref="L153:L162">J153/I153*100</f>
        <v>35.325654216849735</v>
      </c>
      <c r="M153" s="38"/>
      <c r="N153" s="38"/>
    </row>
    <row r="154" spans="1:14" ht="15.75">
      <c r="A154" s="20"/>
      <c r="B154" s="20"/>
      <c r="C154" s="4" t="s">
        <v>9</v>
      </c>
      <c r="D154" s="23" t="s">
        <v>10</v>
      </c>
      <c r="E154" s="59">
        <f>SUMIF($C$5:$C$148,$C154,E$5:E$148)</f>
        <v>225856.69867</v>
      </c>
      <c r="F154" s="59">
        <f>SUMIF($C$5:$C$148,$C154,F$5:F$148)</f>
        <v>5074213.7</v>
      </c>
      <c r="G154" s="59">
        <f>SUMIF($C$5:$C$148,$C154,G$5:G$148)</f>
        <v>323194.42961</v>
      </c>
      <c r="H154" s="53">
        <f t="shared" si="7"/>
        <v>6.369349986383112</v>
      </c>
      <c r="I154" s="59">
        <f>SUMIF($C$5:$C$148,$C154,I$5:I$148)</f>
        <v>959180.8</v>
      </c>
      <c r="J154" s="59">
        <f>SUMIF($C$5:$C$148,$C154,J$5:J$148)</f>
        <v>323194.42961</v>
      </c>
      <c r="K154" s="53">
        <f t="shared" si="6"/>
        <v>-635986.37039</v>
      </c>
      <c r="L154" s="75">
        <f t="shared" si="8"/>
        <v>33.694839347284685</v>
      </c>
      <c r="M154" s="3"/>
      <c r="N154" s="3"/>
    </row>
    <row r="155" spans="1:14" ht="15.75">
      <c r="A155" s="20"/>
      <c r="B155" s="20"/>
      <c r="C155" s="4" t="s">
        <v>11</v>
      </c>
      <c r="D155" s="23" t="s">
        <v>120</v>
      </c>
      <c r="E155" s="59">
        <f aca="true" t="shared" si="9" ref="E155:G163">SUMIF($C$5:$C$148,$C155,E$5:E$148)</f>
        <v>78013.21949</v>
      </c>
      <c r="F155" s="59">
        <f t="shared" si="9"/>
        <v>431806</v>
      </c>
      <c r="G155" s="59">
        <f t="shared" si="9"/>
        <v>80508.90925</v>
      </c>
      <c r="H155" s="53">
        <f t="shared" si="7"/>
        <v>18.64469443453773</v>
      </c>
      <c r="I155" s="59">
        <f aca="true" t="shared" si="10" ref="I155:J163">SUMIF($C$5:$C$143,$C155,I$5:I$143)</f>
        <v>98021</v>
      </c>
      <c r="J155" s="59">
        <f t="shared" si="10"/>
        <v>80508.90925</v>
      </c>
      <c r="K155" s="53">
        <f t="shared" si="6"/>
        <v>-17512.090750000003</v>
      </c>
      <c r="L155" s="75">
        <f t="shared" si="8"/>
        <v>82.13434799685781</v>
      </c>
      <c r="M155" s="3"/>
      <c r="N155" s="3"/>
    </row>
    <row r="156" spans="1:14" ht="15.75">
      <c r="A156" s="20"/>
      <c r="B156" s="20"/>
      <c r="C156" s="4" t="s">
        <v>12</v>
      </c>
      <c r="D156" s="23" t="s">
        <v>13</v>
      </c>
      <c r="E156" s="59">
        <f t="shared" si="9"/>
        <v>0</v>
      </c>
      <c r="F156" s="59">
        <f t="shared" si="9"/>
        <v>1208</v>
      </c>
      <c r="G156" s="59">
        <f t="shared" si="9"/>
        <v>28.87291</v>
      </c>
      <c r="H156" s="53">
        <f t="shared" si="7"/>
        <v>2.390141556291391</v>
      </c>
      <c r="I156" s="59">
        <f t="shared" si="10"/>
        <v>590.02</v>
      </c>
      <c r="J156" s="59">
        <f t="shared" si="10"/>
        <v>28.87291</v>
      </c>
      <c r="K156" s="53">
        <f t="shared" si="6"/>
        <v>-561.1470899999999</v>
      </c>
      <c r="L156" s="75">
        <f t="shared" si="8"/>
        <v>4.893547676349955</v>
      </c>
      <c r="M156" s="3"/>
      <c r="N156" s="3"/>
    </row>
    <row r="157" spans="1:14" ht="15.75">
      <c r="A157" s="20"/>
      <c r="B157" s="20"/>
      <c r="C157" s="4" t="s">
        <v>14</v>
      </c>
      <c r="D157" s="23" t="s">
        <v>15</v>
      </c>
      <c r="E157" s="59">
        <f t="shared" si="9"/>
        <v>2781.5633</v>
      </c>
      <c r="F157" s="59">
        <f t="shared" si="9"/>
        <v>84074</v>
      </c>
      <c r="G157" s="59">
        <f t="shared" si="9"/>
        <v>9327.78099</v>
      </c>
      <c r="H157" s="53">
        <f t="shared" si="7"/>
        <v>11.094727252182599</v>
      </c>
      <c r="I157" s="59">
        <f t="shared" si="10"/>
        <v>6178</v>
      </c>
      <c r="J157" s="59">
        <f t="shared" si="10"/>
        <v>9327.78099</v>
      </c>
      <c r="K157" s="53">
        <f t="shared" si="6"/>
        <v>3149.7809899999993</v>
      </c>
      <c r="L157" s="75">
        <f t="shared" si="8"/>
        <v>150.98382955649078</v>
      </c>
      <c r="M157" s="3"/>
      <c r="N157" s="3"/>
    </row>
    <row r="158" spans="1:14" ht="15.75">
      <c r="A158" s="20"/>
      <c r="B158" s="20"/>
      <c r="C158" s="4" t="s">
        <v>16</v>
      </c>
      <c r="D158" s="23" t="s">
        <v>17</v>
      </c>
      <c r="E158" s="59">
        <f t="shared" si="9"/>
        <v>80404.75852</v>
      </c>
      <c r="F158" s="59">
        <f t="shared" si="9"/>
        <v>2131261</v>
      </c>
      <c r="G158" s="59">
        <f t="shared" si="9"/>
        <v>118985.13405</v>
      </c>
      <c r="H158" s="53">
        <f t="shared" si="7"/>
        <v>5.58285137531255</v>
      </c>
      <c r="I158" s="59">
        <f t="shared" si="10"/>
        <v>470616.9</v>
      </c>
      <c r="J158" s="59">
        <f t="shared" si="10"/>
        <v>118985.13405</v>
      </c>
      <c r="K158" s="53">
        <f t="shared" si="6"/>
        <v>-351631.76595000003</v>
      </c>
      <c r="L158" s="75">
        <f t="shared" si="8"/>
        <v>25.282800947012312</v>
      </c>
      <c r="M158" s="3"/>
      <c r="N158" s="3"/>
    </row>
    <row r="159" spans="1:14" ht="15.75">
      <c r="A159" s="20"/>
      <c r="B159" s="20"/>
      <c r="C159" s="4" t="s">
        <v>115</v>
      </c>
      <c r="D159" s="23" t="s">
        <v>18</v>
      </c>
      <c r="E159" s="59">
        <f t="shared" si="9"/>
        <v>1604.36073</v>
      </c>
      <c r="F159" s="59">
        <f t="shared" si="9"/>
        <v>35895</v>
      </c>
      <c r="G159" s="59">
        <f t="shared" si="9"/>
        <v>2215.81313</v>
      </c>
      <c r="H159" s="53">
        <f t="shared" si="7"/>
        <v>6.173041175651204</v>
      </c>
      <c r="I159" s="59">
        <f t="shared" si="10"/>
        <v>7116</v>
      </c>
      <c r="J159" s="59">
        <f t="shared" si="10"/>
        <v>2215.81313</v>
      </c>
      <c r="K159" s="53">
        <f t="shared" si="6"/>
        <v>-4900.1868699999995</v>
      </c>
      <c r="L159" s="75">
        <f t="shared" si="8"/>
        <v>31.138464446318153</v>
      </c>
      <c r="M159" s="3"/>
      <c r="N159" s="3"/>
    </row>
    <row r="160" spans="1:14" ht="31.5">
      <c r="A160" s="20"/>
      <c r="B160" s="20"/>
      <c r="C160" s="4" t="s">
        <v>116</v>
      </c>
      <c r="D160" s="23" t="s">
        <v>28</v>
      </c>
      <c r="E160" s="59">
        <f t="shared" si="9"/>
        <v>22.53</v>
      </c>
      <c r="F160" s="59">
        <f t="shared" si="9"/>
        <v>198</v>
      </c>
      <c r="G160" s="59">
        <f t="shared" si="9"/>
        <v>73</v>
      </c>
      <c r="H160" s="53">
        <f t="shared" si="7"/>
        <v>36.868686868686865</v>
      </c>
      <c r="I160" s="59">
        <f t="shared" si="10"/>
        <v>23</v>
      </c>
      <c r="J160" s="59">
        <f t="shared" si="10"/>
        <v>73</v>
      </c>
      <c r="K160" s="53">
        <f t="shared" si="6"/>
        <v>50</v>
      </c>
      <c r="L160" s="75">
        <f t="shared" si="8"/>
        <v>317.39130434782606</v>
      </c>
      <c r="M160" s="3"/>
      <c r="N160" s="3"/>
    </row>
    <row r="161" spans="1:14" ht="15.75">
      <c r="A161" s="20"/>
      <c r="B161" s="20"/>
      <c r="C161" s="4" t="s">
        <v>24</v>
      </c>
      <c r="D161" s="23" t="s">
        <v>25</v>
      </c>
      <c r="E161" s="59">
        <f t="shared" si="9"/>
        <v>4983.97921</v>
      </c>
      <c r="F161" s="59">
        <f t="shared" si="9"/>
        <v>107932</v>
      </c>
      <c r="G161" s="59">
        <f t="shared" si="9"/>
        <v>6041.75142</v>
      </c>
      <c r="H161" s="53">
        <f t="shared" si="7"/>
        <v>5.597738779972575</v>
      </c>
      <c r="I161" s="59">
        <f t="shared" si="10"/>
        <v>18234</v>
      </c>
      <c r="J161" s="59">
        <f t="shared" si="10"/>
        <v>6041.75142</v>
      </c>
      <c r="K161" s="53">
        <f t="shared" si="6"/>
        <v>-12192.24858</v>
      </c>
      <c r="L161" s="75">
        <f t="shared" si="8"/>
        <v>33.13453668970055</v>
      </c>
      <c r="M161" s="3"/>
      <c r="N161" s="3"/>
    </row>
    <row r="162" spans="1:14" ht="31.5">
      <c r="A162" s="20"/>
      <c r="B162" s="20"/>
      <c r="C162" s="4" t="s">
        <v>31</v>
      </c>
      <c r="D162" s="23" t="s">
        <v>32</v>
      </c>
      <c r="E162" s="59">
        <f t="shared" si="9"/>
        <v>28.5</v>
      </c>
      <c r="F162" s="59">
        <f t="shared" si="9"/>
        <v>300</v>
      </c>
      <c r="G162" s="59">
        <f t="shared" si="9"/>
        <v>36</v>
      </c>
      <c r="H162" s="53">
        <f t="shared" si="7"/>
        <v>12</v>
      </c>
      <c r="I162" s="59">
        <f t="shared" si="10"/>
        <v>75</v>
      </c>
      <c r="J162" s="59">
        <f t="shared" si="10"/>
        <v>36</v>
      </c>
      <c r="K162" s="53">
        <f t="shared" si="6"/>
        <v>-39</v>
      </c>
      <c r="L162" s="75">
        <f t="shared" si="8"/>
        <v>48</v>
      </c>
      <c r="M162" s="3"/>
      <c r="N162" s="3"/>
    </row>
    <row r="163" spans="1:14" ht="15.75">
      <c r="A163" s="20"/>
      <c r="B163" s="20"/>
      <c r="C163" s="4" t="s">
        <v>19</v>
      </c>
      <c r="D163" s="23" t="s">
        <v>20</v>
      </c>
      <c r="E163" s="59">
        <f t="shared" si="9"/>
        <v>141.72371</v>
      </c>
      <c r="F163" s="59">
        <f t="shared" si="9"/>
        <v>0</v>
      </c>
      <c r="G163" s="59">
        <f t="shared" si="9"/>
        <v>10680.77949</v>
      </c>
      <c r="H163" s="53"/>
      <c r="I163" s="59">
        <f t="shared" si="10"/>
        <v>0</v>
      </c>
      <c r="J163" s="59">
        <f t="shared" si="10"/>
        <v>10680.77949</v>
      </c>
      <c r="K163" s="53">
        <f t="shared" si="6"/>
        <v>10680.77949</v>
      </c>
      <c r="L163" s="75"/>
      <c r="M163" s="3"/>
      <c r="N163" s="3"/>
    </row>
    <row r="164" spans="1:14" s="16" customFormat="1" ht="15.75">
      <c r="A164" s="20"/>
      <c r="B164" s="20"/>
      <c r="C164" s="32"/>
      <c r="D164" s="27" t="s">
        <v>33</v>
      </c>
      <c r="E164" s="60">
        <f>SUM(E165:E185)</f>
        <v>148525.13582</v>
      </c>
      <c r="F164" s="60">
        <f>SUM(F165:F185)</f>
        <v>3625442.4999999995</v>
      </c>
      <c r="G164" s="60">
        <f>SUM(G165:G185)</f>
        <v>134472.64735</v>
      </c>
      <c r="H164" s="58">
        <f t="shared" si="7"/>
        <v>3.7091375011464125</v>
      </c>
      <c r="I164" s="60">
        <f>SUM(I165:I185)</f>
        <v>660355.3219999999</v>
      </c>
      <c r="J164" s="60">
        <f>SUM(J165:J185)</f>
        <v>134472.64735</v>
      </c>
      <c r="K164" s="58">
        <f t="shared" si="6"/>
        <v>-525882.67465</v>
      </c>
      <c r="L164" s="76">
        <f>J164/I164*100</f>
        <v>20.363680411134784</v>
      </c>
      <c r="M164" s="38"/>
      <c r="N164" s="38"/>
    </row>
    <row r="165" spans="1:14" ht="15.75">
      <c r="A165" s="20"/>
      <c r="B165" s="20"/>
      <c r="C165" s="4" t="s">
        <v>40</v>
      </c>
      <c r="D165" s="23" t="s">
        <v>41</v>
      </c>
      <c r="E165" s="59">
        <f>SUMIF($C$5:$C$148,$C165,E$5:E$148)</f>
        <v>0</v>
      </c>
      <c r="F165" s="59">
        <f>SUMIF($C$5:$C$148,$C165,F$5:F$148)</f>
        <v>0</v>
      </c>
      <c r="G165" s="59">
        <f>SUMIF($C$5:$C$148,$C165,G$5:G$148)</f>
        <v>0</v>
      </c>
      <c r="H165" s="53"/>
      <c r="I165" s="59">
        <f aca="true" t="shared" si="11" ref="I165:J185">SUMIF($C$5:$C$143,$C165,I$5:I$143)</f>
        <v>0</v>
      </c>
      <c r="J165" s="59">
        <f t="shared" si="11"/>
        <v>0</v>
      </c>
      <c r="K165" s="53">
        <f t="shared" si="6"/>
        <v>0</v>
      </c>
      <c r="L165" s="75"/>
      <c r="M165" s="3"/>
      <c r="N165" s="3"/>
    </row>
    <row r="166" spans="1:14" ht="31.5">
      <c r="A166" s="20"/>
      <c r="B166" s="20"/>
      <c r="C166" s="4" t="s">
        <v>70</v>
      </c>
      <c r="D166" s="23" t="s">
        <v>71</v>
      </c>
      <c r="E166" s="59">
        <f aca="true" t="shared" si="12" ref="E166:G185">SUMIF($C$5:$C$148,$C166,E$5:E$148)</f>
        <v>0</v>
      </c>
      <c r="F166" s="59">
        <f t="shared" si="12"/>
        <v>0</v>
      </c>
      <c r="G166" s="59">
        <f t="shared" si="12"/>
        <v>0</v>
      </c>
      <c r="H166" s="53"/>
      <c r="I166" s="59">
        <f t="shared" si="11"/>
        <v>0</v>
      </c>
      <c r="J166" s="59">
        <f t="shared" si="11"/>
        <v>0</v>
      </c>
      <c r="K166" s="53">
        <f t="shared" si="6"/>
        <v>0</v>
      </c>
      <c r="L166" s="75"/>
      <c r="M166" s="3"/>
      <c r="N166" s="3"/>
    </row>
    <row r="167" spans="1:14" ht="94.5">
      <c r="A167" s="20"/>
      <c r="B167" s="20"/>
      <c r="C167" s="63" t="s">
        <v>132</v>
      </c>
      <c r="D167" s="65" t="s">
        <v>133</v>
      </c>
      <c r="E167" s="59">
        <f t="shared" si="12"/>
        <v>2981.53006</v>
      </c>
      <c r="F167" s="59">
        <f t="shared" si="12"/>
        <v>1187731</v>
      </c>
      <c r="G167" s="59">
        <f t="shared" si="12"/>
        <v>11595.635279999999</v>
      </c>
      <c r="H167" s="53">
        <f>G167/F167*100</f>
        <v>0.9762846368411701</v>
      </c>
      <c r="I167" s="59">
        <f t="shared" si="11"/>
        <v>272171.3</v>
      </c>
      <c r="J167" s="59">
        <f t="shared" si="11"/>
        <v>11595.635279999999</v>
      </c>
      <c r="K167" s="53">
        <f>J167-I167</f>
        <v>-260575.66472</v>
      </c>
      <c r="L167" s="75">
        <f>J167/I167*100</f>
        <v>4.260418082288617</v>
      </c>
      <c r="M167" s="3"/>
      <c r="N167" s="3"/>
    </row>
    <row r="168" spans="1:14" ht="31.5">
      <c r="A168" s="20"/>
      <c r="B168" s="20"/>
      <c r="C168" s="4" t="s">
        <v>54</v>
      </c>
      <c r="D168" s="23" t="s">
        <v>109</v>
      </c>
      <c r="E168" s="59">
        <f t="shared" si="12"/>
        <v>0</v>
      </c>
      <c r="F168" s="59">
        <f t="shared" si="12"/>
        <v>13857</v>
      </c>
      <c r="G168" s="59">
        <f t="shared" si="12"/>
        <v>0</v>
      </c>
      <c r="H168" s="53">
        <f t="shared" si="7"/>
        <v>0</v>
      </c>
      <c r="I168" s="59">
        <f t="shared" si="11"/>
        <v>0</v>
      </c>
      <c r="J168" s="59">
        <f t="shared" si="11"/>
        <v>0</v>
      </c>
      <c r="K168" s="53">
        <f t="shared" si="6"/>
        <v>0</v>
      </c>
      <c r="L168" s="75"/>
      <c r="M168" s="3"/>
      <c r="N168" s="3"/>
    </row>
    <row r="169" spans="1:14" ht="15.75">
      <c r="A169" s="20"/>
      <c r="B169" s="20"/>
      <c r="C169" s="4" t="s">
        <v>36</v>
      </c>
      <c r="D169" s="24" t="s">
        <v>37</v>
      </c>
      <c r="E169" s="59">
        <f t="shared" si="12"/>
        <v>15529.99759</v>
      </c>
      <c r="F169" s="59">
        <f t="shared" si="12"/>
        <v>535769</v>
      </c>
      <c r="G169" s="59">
        <f t="shared" si="12"/>
        <v>44983.221639999996</v>
      </c>
      <c r="H169" s="53">
        <f t="shared" si="7"/>
        <v>8.396010526924849</v>
      </c>
      <c r="I169" s="59">
        <f t="shared" si="11"/>
        <v>90000</v>
      </c>
      <c r="J169" s="59">
        <f t="shared" si="11"/>
        <v>44983.221639999996</v>
      </c>
      <c r="K169" s="53">
        <f t="shared" si="6"/>
        <v>-45016.778360000004</v>
      </c>
      <c r="L169" s="75">
        <f>J169/I169*100</f>
        <v>49.981357377777776</v>
      </c>
      <c r="M169" s="3"/>
      <c r="N169" s="3"/>
    </row>
    <row r="170" spans="1:14" ht="31.5">
      <c r="A170" s="20"/>
      <c r="B170" s="20"/>
      <c r="C170" s="4" t="s">
        <v>43</v>
      </c>
      <c r="D170" s="23" t="s">
        <v>44</v>
      </c>
      <c r="E170" s="59">
        <f t="shared" si="12"/>
        <v>0</v>
      </c>
      <c r="F170" s="59">
        <f t="shared" si="12"/>
        <v>3792.7</v>
      </c>
      <c r="G170" s="59">
        <f t="shared" si="12"/>
        <v>0</v>
      </c>
      <c r="H170" s="53">
        <f t="shared" si="7"/>
        <v>0</v>
      </c>
      <c r="I170" s="59">
        <f t="shared" si="11"/>
        <v>0</v>
      </c>
      <c r="J170" s="59">
        <f t="shared" si="11"/>
        <v>0</v>
      </c>
      <c r="K170" s="53">
        <f t="shared" si="6"/>
        <v>0</v>
      </c>
      <c r="L170" s="75"/>
      <c r="M170" s="3"/>
      <c r="N170" s="3"/>
    </row>
    <row r="171" spans="1:14" ht="15.75">
      <c r="A171" s="20"/>
      <c r="B171" s="20"/>
      <c r="C171" s="4" t="s">
        <v>34</v>
      </c>
      <c r="D171" s="23" t="s">
        <v>45</v>
      </c>
      <c r="E171" s="59">
        <f t="shared" si="12"/>
        <v>2942.3758100000005</v>
      </c>
      <c r="F171" s="59">
        <f t="shared" si="12"/>
        <v>0</v>
      </c>
      <c r="G171" s="59">
        <f t="shared" si="12"/>
        <v>0</v>
      </c>
      <c r="H171" s="53"/>
      <c r="I171" s="59">
        <f t="shared" si="11"/>
        <v>0</v>
      </c>
      <c r="J171" s="59">
        <f t="shared" si="11"/>
        <v>0</v>
      </c>
      <c r="K171" s="53">
        <f t="shared" si="6"/>
        <v>0</v>
      </c>
      <c r="L171" s="75"/>
      <c r="M171" s="3"/>
      <c r="N171" s="3"/>
    </row>
    <row r="172" spans="1:14" ht="78.75">
      <c r="A172" s="20"/>
      <c r="B172" s="20"/>
      <c r="C172" s="63" t="s">
        <v>128</v>
      </c>
      <c r="D172" s="64" t="s">
        <v>129</v>
      </c>
      <c r="E172" s="59">
        <f t="shared" si="12"/>
        <v>0</v>
      </c>
      <c r="F172" s="59">
        <f t="shared" si="12"/>
        <v>87876</v>
      </c>
      <c r="G172" s="59">
        <f t="shared" si="12"/>
        <v>1589.89849</v>
      </c>
      <c r="H172" s="53">
        <f>G172/F172*100</f>
        <v>1.8092522304155856</v>
      </c>
      <c r="I172" s="59">
        <f t="shared" si="11"/>
        <v>19359.464</v>
      </c>
      <c r="J172" s="59">
        <f t="shared" si="11"/>
        <v>1589.89849</v>
      </c>
      <c r="K172" s="53">
        <f>J172-I172</f>
        <v>-17769.56551</v>
      </c>
      <c r="L172" s="75">
        <f>J172/I172*100</f>
        <v>8.212512960069555</v>
      </c>
      <c r="M172" s="3"/>
      <c r="N172" s="3"/>
    </row>
    <row r="173" spans="1:14" ht="15.75">
      <c r="A173" s="20"/>
      <c r="B173" s="20"/>
      <c r="C173" s="4" t="s">
        <v>64</v>
      </c>
      <c r="D173" s="23" t="s">
        <v>65</v>
      </c>
      <c r="E173" s="59">
        <f t="shared" si="12"/>
        <v>2216.13963</v>
      </c>
      <c r="F173" s="59">
        <f t="shared" si="12"/>
        <v>18726.9</v>
      </c>
      <c r="G173" s="59">
        <f t="shared" si="12"/>
        <v>2490.14193</v>
      </c>
      <c r="H173" s="53">
        <f t="shared" si="7"/>
        <v>13.297139035291478</v>
      </c>
      <c r="I173" s="59">
        <f t="shared" si="11"/>
        <v>5093.7</v>
      </c>
      <c r="J173" s="59">
        <f t="shared" si="11"/>
        <v>2490.14193</v>
      </c>
      <c r="K173" s="53">
        <f t="shared" si="6"/>
        <v>-2603.55807</v>
      </c>
      <c r="L173" s="75">
        <f>J173/I173*100</f>
        <v>48.88670180811591</v>
      </c>
      <c r="M173" s="3"/>
      <c r="N173" s="3"/>
    </row>
    <row r="174" spans="1:14" ht="31.5">
      <c r="A174" s="20"/>
      <c r="B174" s="20"/>
      <c r="C174" s="4" t="s">
        <v>114</v>
      </c>
      <c r="D174" s="25" t="s">
        <v>119</v>
      </c>
      <c r="E174" s="59">
        <f t="shared" si="12"/>
        <v>26.65549</v>
      </c>
      <c r="F174" s="59">
        <f t="shared" si="12"/>
        <v>0</v>
      </c>
      <c r="G174" s="59">
        <f t="shared" si="12"/>
        <v>1.55158</v>
      </c>
      <c r="H174" s="53"/>
      <c r="I174" s="59">
        <f t="shared" si="11"/>
        <v>0</v>
      </c>
      <c r="J174" s="59">
        <f t="shared" si="11"/>
        <v>1.55158</v>
      </c>
      <c r="K174" s="53">
        <f t="shared" si="6"/>
        <v>1.55158</v>
      </c>
      <c r="L174" s="75"/>
      <c r="M174" s="3"/>
      <c r="N174" s="3"/>
    </row>
    <row r="175" spans="1:14" ht="15.75">
      <c r="A175" s="20"/>
      <c r="B175" s="20"/>
      <c r="C175" s="4" t="s">
        <v>66</v>
      </c>
      <c r="D175" s="23" t="s">
        <v>67</v>
      </c>
      <c r="E175" s="59">
        <f t="shared" si="12"/>
        <v>0</v>
      </c>
      <c r="F175" s="59">
        <f t="shared" si="12"/>
        <v>1460</v>
      </c>
      <c r="G175" s="59">
        <f t="shared" si="12"/>
        <v>0</v>
      </c>
      <c r="H175" s="53">
        <f t="shared" si="7"/>
        <v>0</v>
      </c>
      <c r="I175" s="59">
        <f t="shared" si="11"/>
        <v>0</v>
      </c>
      <c r="J175" s="59">
        <f t="shared" si="11"/>
        <v>0</v>
      </c>
      <c r="K175" s="53">
        <f t="shared" si="6"/>
        <v>0</v>
      </c>
      <c r="L175" s="75"/>
      <c r="M175" s="3"/>
      <c r="N175" s="3"/>
    </row>
    <row r="176" spans="1:14" ht="31.5">
      <c r="A176" s="20"/>
      <c r="B176" s="20"/>
      <c r="C176" s="4" t="s">
        <v>46</v>
      </c>
      <c r="D176" s="23" t="s">
        <v>47</v>
      </c>
      <c r="E176" s="59">
        <f t="shared" si="12"/>
        <v>0</v>
      </c>
      <c r="F176" s="59">
        <f t="shared" si="12"/>
        <v>0</v>
      </c>
      <c r="G176" s="59">
        <f t="shared" si="12"/>
        <v>0</v>
      </c>
      <c r="H176" s="53"/>
      <c r="I176" s="59">
        <f t="shared" si="11"/>
        <v>0</v>
      </c>
      <c r="J176" s="59">
        <f t="shared" si="11"/>
        <v>0</v>
      </c>
      <c r="K176" s="53">
        <f t="shared" si="6"/>
        <v>0</v>
      </c>
      <c r="L176" s="75"/>
      <c r="M176" s="3"/>
      <c r="N176" s="3"/>
    </row>
    <row r="177" spans="1:14" ht="47.25">
      <c r="A177" s="20"/>
      <c r="B177" s="20"/>
      <c r="C177" s="4" t="s">
        <v>48</v>
      </c>
      <c r="D177" s="23" t="s">
        <v>49</v>
      </c>
      <c r="E177" s="59">
        <f t="shared" si="12"/>
        <v>96515.535</v>
      </c>
      <c r="F177" s="59">
        <f t="shared" si="12"/>
        <v>0</v>
      </c>
      <c r="G177" s="59">
        <f t="shared" si="12"/>
        <v>6602.52083</v>
      </c>
      <c r="H177" s="53"/>
      <c r="I177" s="59">
        <f t="shared" si="11"/>
        <v>0</v>
      </c>
      <c r="J177" s="59">
        <f t="shared" si="11"/>
        <v>6602.52083</v>
      </c>
      <c r="K177" s="53">
        <f t="shared" si="6"/>
        <v>6602.52083</v>
      </c>
      <c r="L177" s="75"/>
      <c r="M177" s="3"/>
      <c r="N177" s="3"/>
    </row>
    <row r="178" spans="1:14" ht="94.5">
      <c r="A178" s="20"/>
      <c r="B178" s="20"/>
      <c r="C178" s="63" t="s">
        <v>131</v>
      </c>
      <c r="D178" s="64" t="s">
        <v>130</v>
      </c>
      <c r="E178" s="59">
        <f t="shared" si="12"/>
        <v>0</v>
      </c>
      <c r="F178" s="59">
        <f t="shared" si="12"/>
        <v>1122450.5</v>
      </c>
      <c r="G178" s="59">
        <f t="shared" si="12"/>
        <v>200</v>
      </c>
      <c r="H178" s="53">
        <f>G178/F178*100</f>
        <v>0.017818157682677322</v>
      </c>
      <c r="I178" s="59">
        <f t="shared" si="11"/>
        <v>147416</v>
      </c>
      <c r="J178" s="59">
        <f t="shared" si="11"/>
        <v>200</v>
      </c>
      <c r="K178" s="53">
        <f>J178-I178</f>
        <v>-147216</v>
      </c>
      <c r="L178" s="75">
        <f>J178/I178*100</f>
        <v>0.1356704835296033</v>
      </c>
      <c r="M178" s="3"/>
      <c r="N178" s="3"/>
    </row>
    <row r="179" spans="1:14" ht="47.25">
      <c r="A179" s="20"/>
      <c r="B179" s="20"/>
      <c r="C179" s="63" t="s">
        <v>134</v>
      </c>
      <c r="D179" s="64" t="s">
        <v>135</v>
      </c>
      <c r="E179" s="59">
        <f t="shared" si="12"/>
        <v>1255.4</v>
      </c>
      <c r="F179" s="59">
        <f t="shared" si="12"/>
        <v>528362.8</v>
      </c>
      <c r="G179" s="59">
        <f t="shared" si="12"/>
        <v>11133.62045</v>
      </c>
      <c r="H179" s="53">
        <f>G179/F179*100</f>
        <v>2.107192340187462</v>
      </c>
      <c r="I179" s="59">
        <f t="shared" si="11"/>
        <v>105753.928</v>
      </c>
      <c r="J179" s="59">
        <f t="shared" si="11"/>
        <v>11133.62045</v>
      </c>
      <c r="K179" s="53">
        <f>J179-I179</f>
        <v>-94620.30755</v>
      </c>
      <c r="L179" s="75">
        <f>J179/I179*100</f>
        <v>10.527855239570865</v>
      </c>
      <c r="M179" s="3"/>
      <c r="N179" s="3"/>
    </row>
    <row r="180" spans="1:14" ht="78.75">
      <c r="A180" s="20"/>
      <c r="B180" s="20"/>
      <c r="C180" s="63" t="s">
        <v>146</v>
      </c>
      <c r="D180" s="64" t="s">
        <v>147</v>
      </c>
      <c r="E180" s="59">
        <f t="shared" si="12"/>
        <v>1516.3</v>
      </c>
      <c r="F180" s="59">
        <f t="shared" si="12"/>
        <v>0</v>
      </c>
      <c r="G180" s="59">
        <f t="shared" si="12"/>
        <v>0</v>
      </c>
      <c r="H180" s="53"/>
      <c r="I180" s="59">
        <f t="shared" si="11"/>
        <v>0</v>
      </c>
      <c r="J180" s="59">
        <f t="shared" si="11"/>
        <v>0</v>
      </c>
      <c r="K180" s="53">
        <f>J180-I180</f>
        <v>0</v>
      </c>
      <c r="L180" s="75"/>
      <c r="M180" s="3"/>
      <c r="N180" s="3"/>
    </row>
    <row r="181" spans="1:14" ht="15.75">
      <c r="A181" s="20"/>
      <c r="B181" s="20"/>
      <c r="C181" s="4" t="s">
        <v>77</v>
      </c>
      <c r="D181" s="23" t="s">
        <v>78</v>
      </c>
      <c r="E181" s="59">
        <f t="shared" si="12"/>
        <v>4424.551299999999</v>
      </c>
      <c r="F181" s="59">
        <f t="shared" si="12"/>
        <v>125416.6</v>
      </c>
      <c r="G181" s="59">
        <f t="shared" si="12"/>
        <v>7689.222040000001</v>
      </c>
      <c r="H181" s="53">
        <f t="shared" si="7"/>
        <v>6.130944420435572</v>
      </c>
      <c r="I181" s="59">
        <f t="shared" si="11"/>
        <v>20560.93</v>
      </c>
      <c r="J181" s="59">
        <f t="shared" si="11"/>
        <v>7689.222040000001</v>
      </c>
      <c r="K181" s="53">
        <f t="shared" si="6"/>
        <v>-12871.70796</v>
      </c>
      <c r="L181" s="75">
        <f>J181/I181*100</f>
        <v>37.39724827622097</v>
      </c>
      <c r="M181" s="3"/>
      <c r="N181" s="3"/>
    </row>
    <row r="182" spans="1:14" ht="15.75">
      <c r="A182" s="20"/>
      <c r="B182" s="20"/>
      <c r="C182" s="4" t="s">
        <v>81</v>
      </c>
      <c r="D182" s="23" t="s">
        <v>82</v>
      </c>
      <c r="E182" s="59">
        <f t="shared" si="12"/>
        <v>21116.65094</v>
      </c>
      <c r="F182" s="59">
        <f t="shared" si="12"/>
        <v>0</v>
      </c>
      <c r="G182" s="59">
        <f t="shared" si="12"/>
        <v>48186.835110000015</v>
      </c>
      <c r="H182" s="53"/>
      <c r="I182" s="59">
        <f t="shared" si="11"/>
        <v>0</v>
      </c>
      <c r="J182" s="59">
        <f t="shared" si="11"/>
        <v>48186.835110000015</v>
      </c>
      <c r="K182" s="53">
        <f t="shared" si="6"/>
        <v>48186.835110000015</v>
      </c>
      <c r="L182" s="75"/>
      <c r="M182" s="3"/>
      <c r="N182" s="3"/>
    </row>
    <row r="183" spans="1:14" ht="15.75">
      <c r="A183" s="20"/>
      <c r="B183" s="20"/>
      <c r="C183" s="4" t="s">
        <v>79</v>
      </c>
      <c r="D183" s="23" t="s">
        <v>80</v>
      </c>
      <c r="E183" s="59">
        <f t="shared" si="12"/>
        <v>0</v>
      </c>
      <c r="F183" s="59">
        <f t="shared" si="12"/>
        <v>0</v>
      </c>
      <c r="G183" s="59">
        <f t="shared" si="12"/>
        <v>0</v>
      </c>
      <c r="H183" s="53"/>
      <c r="I183" s="59">
        <f t="shared" si="11"/>
        <v>0</v>
      </c>
      <c r="J183" s="59">
        <f t="shared" si="11"/>
        <v>0</v>
      </c>
      <c r="K183" s="53">
        <f t="shared" si="6"/>
        <v>0</v>
      </c>
      <c r="L183" s="75"/>
      <c r="M183" s="3"/>
      <c r="N183" s="3"/>
    </row>
    <row r="184" spans="1:14" ht="31.5">
      <c r="A184" s="20"/>
      <c r="B184" s="20"/>
      <c r="C184" s="4" t="s">
        <v>72</v>
      </c>
      <c r="D184" s="23" t="s">
        <v>73</v>
      </c>
      <c r="E184" s="59">
        <f t="shared" si="12"/>
        <v>0</v>
      </c>
      <c r="F184" s="59">
        <f t="shared" si="12"/>
        <v>0</v>
      </c>
      <c r="G184" s="59">
        <f t="shared" si="12"/>
        <v>0</v>
      </c>
      <c r="H184" s="53"/>
      <c r="I184" s="59">
        <f t="shared" si="11"/>
        <v>0</v>
      </c>
      <c r="J184" s="59">
        <f t="shared" si="11"/>
        <v>0</v>
      </c>
      <c r="K184" s="53">
        <f t="shared" si="6"/>
        <v>0</v>
      </c>
      <c r="L184" s="75"/>
      <c r="M184" s="3"/>
      <c r="N184" s="3"/>
    </row>
    <row r="185" spans="1:14" ht="15.75">
      <c r="A185" s="20"/>
      <c r="B185" s="20"/>
      <c r="C185" s="4" t="s">
        <v>74</v>
      </c>
      <c r="D185" s="23" t="s">
        <v>75</v>
      </c>
      <c r="E185" s="59">
        <f t="shared" si="12"/>
        <v>0</v>
      </c>
      <c r="F185" s="59">
        <f t="shared" si="12"/>
        <v>0</v>
      </c>
      <c r="G185" s="59">
        <f t="shared" si="12"/>
        <v>0</v>
      </c>
      <c r="H185" s="53"/>
      <c r="I185" s="59">
        <f t="shared" si="11"/>
        <v>0</v>
      </c>
      <c r="J185" s="59">
        <f t="shared" si="11"/>
        <v>0</v>
      </c>
      <c r="K185" s="53">
        <f t="shared" si="6"/>
        <v>0</v>
      </c>
      <c r="L185" s="75"/>
      <c r="M185" s="3"/>
      <c r="N185" s="3"/>
    </row>
    <row r="186" spans="1:14" s="16" customFormat="1" ht="15.75">
      <c r="A186" s="20"/>
      <c r="B186" s="20"/>
      <c r="C186" s="22" t="s">
        <v>118</v>
      </c>
      <c r="D186" s="27" t="s">
        <v>85</v>
      </c>
      <c r="E186" s="60">
        <f>SUM(E187:E192)</f>
        <v>208668.98700000002</v>
      </c>
      <c r="F186" s="60">
        <f>SUM(F187:F192)</f>
        <v>3096819.6</v>
      </c>
      <c r="G186" s="60">
        <f>SUM(G187:G192)</f>
        <v>225807.131</v>
      </c>
      <c r="H186" s="58">
        <f t="shared" si="7"/>
        <v>7.291581692391769</v>
      </c>
      <c r="I186" s="60">
        <f>SUM(I187:I192)</f>
        <v>541615.0889999999</v>
      </c>
      <c r="J186" s="60">
        <f>SUM(J187:J192)</f>
        <v>225807.131</v>
      </c>
      <c r="K186" s="58">
        <f t="shared" si="6"/>
        <v>-315807.9579999999</v>
      </c>
      <c r="L186" s="76">
        <f>J186/I186*100</f>
        <v>41.691440210226496</v>
      </c>
      <c r="M186" s="38"/>
      <c r="N186" s="38"/>
    </row>
    <row r="187" spans="1:14" ht="31.5">
      <c r="A187" s="20"/>
      <c r="B187" s="20"/>
      <c r="C187" s="4" t="s">
        <v>86</v>
      </c>
      <c r="D187" s="23" t="s">
        <v>150</v>
      </c>
      <c r="E187" s="59">
        <f aca="true" t="shared" si="13" ref="E187:G193">SUMIF($C$5:$C$143,$C187,E$5:E$143)</f>
        <v>4927.26</v>
      </c>
      <c r="F187" s="59">
        <f t="shared" si="13"/>
        <v>67236</v>
      </c>
      <c r="G187" s="59">
        <f t="shared" si="13"/>
        <v>6723.6</v>
      </c>
      <c r="H187" s="53">
        <f t="shared" si="7"/>
        <v>10</v>
      </c>
      <c r="I187" s="59">
        <f aca="true" t="shared" si="14" ref="I187:J193">SUMIF($C$5:$C$143,$C187,I$5:I$143)</f>
        <v>16809</v>
      </c>
      <c r="J187" s="59">
        <f t="shared" si="14"/>
        <v>6723.6</v>
      </c>
      <c r="K187" s="53">
        <f t="shared" si="6"/>
        <v>-10085.4</v>
      </c>
      <c r="L187" s="75">
        <f>J187/I187*100</f>
        <v>40</v>
      </c>
      <c r="M187" s="3"/>
      <c r="N187" s="3"/>
    </row>
    <row r="188" spans="1:14" ht="15.75">
      <c r="A188" s="20"/>
      <c r="B188" s="20"/>
      <c r="C188" s="4" t="s">
        <v>87</v>
      </c>
      <c r="D188" s="23" t="s">
        <v>156</v>
      </c>
      <c r="E188" s="59">
        <f t="shared" si="13"/>
        <v>0</v>
      </c>
      <c r="F188" s="59">
        <f t="shared" si="13"/>
        <v>1064970.5</v>
      </c>
      <c r="G188" s="59">
        <f t="shared" si="13"/>
        <v>0</v>
      </c>
      <c r="H188" s="53">
        <f t="shared" si="7"/>
        <v>0</v>
      </c>
      <c r="I188" s="59">
        <f t="shared" si="14"/>
        <v>100475.375</v>
      </c>
      <c r="J188" s="59">
        <f t="shared" si="14"/>
        <v>0</v>
      </c>
      <c r="K188" s="53">
        <f t="shared" si="6"/>
        <v>-100475.375</v>
      </c>
      <c r="L188" s="75">
        <f>J188/I188*100</f>
        <v>0</v>
      </c>
      <c r="M188" s="3"/>
      <c r="N188" s="3"/>
    </row>
    <row r="189" spans="1:14" ht="15.75">
      <c r="A189" s="20"/>
      <c r="B189" s="20"/>
      <c r="C189" s="4" t="s">
        <v>142</v>
      </c>
      <c r="D189" s="23" t="s">
        <v>153</v>
      </c>
      <c r="E189" s="59">
        <f t="shared" si="13"/>
        <v>202784.727</v>
      </c>
      <c r="F189" s="59">
        <f t="shared" si="13"/>
        <v>1758829.4999999998</v>
      </c>
      <c r="G189" s="59">
        <f t="shared" si="13"/>
        <v>209743.033</v>
      </c>
      <c r="H189" s="53">
        <f>G189/F189*100</f>
        <v>11.925148685532056</v>
      </c>
      <c r="I189" s="59">
        <f t="shared" si="14"/>
        <v>374664.18899999995</v>
      </c>
      <c r="J189" s="59">
        <f t="shared" si="14"/>
        <v>209743.033</v>
      </c>
      <c r="K189" s="53">
        <f>J189-I189</f>
        <v>-164921.15599999996</v>
      </c>
      <c r="L189" s="75">
        <f>J189/I189*100</f>
        <v>55.98160677160422</v>
      </c>
      <c r="M189" s="3"/>
      <c r="N189" s="3"/>
    </row>
    <row r="190" spans="1:14" ht="15.75">
      <c r="A190" s="20"/>
      <c r="B190" s="20"/>
      <c r="C190" s="4" t="s">
        <v>96</v>
      </c>
      <c r="D190" s="64" t="s">
        <v>141</v>
      </c>
      <c r="E190" s="59">
        <f t="shared" si="13"/>
        <v>0</v>
      </c>
      <c r="F190" s="59">
        <f t="shared" si="13"/>
        <v>205783.6</v>
      </c>
      <c r="G190" s="59">
        <f t="shared" si="13"/>
        <v>9340.498</v>
      </c>
      <c r="H190" s="53">
        <f t="shared" si="7"/>
        <v>4.538990473487683</v>
      </c>
      <c r="I190" s="59">
        <f t="shared" si="14"/>
        <v>49666.525</v>
      </c>
      <c r="J190" s="59">
        <f t="shared" si="14"/>
        <v>9340.498</v>
      </c>
      <c r="K190" s="53">
        <f t="shared" si="6"/>
        <v>-40326.027</v>
      </c>
      <c r="L190" s="75">
        <f>J190/I190*100</f>
        <v>18.806425454569247</v>
      </c>
      <c r="M190" s="3"/>
      <c r="N190" s="3"/>
    </row>
    <row r="191" spans="1:14" ht="31.5">
      <c r="A191" s="20"/>
      <c r="B191" s="20"/>
      <c r="C191" s="4" t="s">
        <v>113</v>
      </c>
      <c r="D191" s="24" t="s">
        <v>155</v>
      </c>
      <c r="E191" s="59">
        <f t="shared" si="13"/>
        <v>0</v>
      </c>
      <c r="F191" s="59">
        <f t="shared" si="13"/>
        <v>0</v>
      </c>
      <c r="G191" s="59">
        <f t="shared" si="13"/>
        <v>0</v>
      </c>
      <c r="H191" s="53"/>
      <c r="I191" s="59">
        <f t="shared" si="14"/>
        <v>0</v>
      </c>
      <c r="J191" s="59">
        <f t="shared" si="14"/>
        <v>0</v>
      </c>
      <c r="K191" s="53">
        <f t="shared" si="6"/>
        <v>0</v>
      </c>
      <c r="L191" s="75"/>
      <c r="M191" s="3"/>
      <c r="N191" s="3"/>
    </row>
    <row r="192" spans="1:14" ht="15.75">
      <c r="A192" s="20"/>
      <c r="B192" s="20"/>
      <c r="C192" s="4" t="s">
        <v>57</v>
      </c>
      <c r="D192" s="23" t="s">
        <v>58</v>
      </c>
      <c r="E192" s="59">
        <f t="shared" si="13"/>
        <v>957</v>
      </c>
      <c r="F192" s="59">
        <f t="shared" si="13"/>
        <v>0</v>
      </c>
      <c r="G192" s="59">
        <f t="shared" si="13"/>
        <v>0</v>
      </c>
      <c r="H192" s="53"/>
      <c r="I192" s="59">
        <f t="shared" si="14"/>
        <v>0</v>
      </c>
      <c r="J192" s="59">
        <f t="shared" si="14"/>
        <v>0</v>
      </c>
      <c r="K192" s="53">
        <f t="shared" si="6"/>
        <v>0</v>
      </c>
      <c r="L192" s="75"/>
      <c r="M192" s="3"/>
      <c r="N192" s="3"/>
    </row>
    <row r="193" spans="1:14" s="16" customFormat="1" ht="31.5">
      <c r="A193" s="20"/>
      <c r="B193" s="20"/>
      <c r="C193" s="22" t="s">
        <v>83</v>
      </c>
      <c r="D193" s="27" t="s">
        <v>84</v>
      </c>
      <c r="E193" s="60">
        <f t="shared" si="13"/>
        <v>52982.04504</v>
      </c>
      <c r="F193" s="60">
        <f t="shared" si="13"/>
        <v>1097930</v>
      </c>
      <c r="G193" s="60">
        <f t="shared" si="13"/>
        <v>55835.84478</v>
      </c>
      <c r="H193" s="58">
        <f t="shared" si="7"/>
        <v>5.085555980800233</v>
      </c>
      <c r="I193" s="60">
        <f t="shared" si="14"/>
        <v>260005.69999999998</v>
      </c>
      <c r="J193" s="60">
        <f t="shared" si="14"/>
        <v>55835.84478</v>
      </c>
      <c r="K193" s="58">
        <f t="shared" si="6"/>
        <v>-204169.85521999997</v>
      </c>
      <c r="L193" s="76">
        <f>J193/I193*100</f>
        <v>21.47485412050582</v>
      </c>
      <c r="M193" s="38"/>
      <c r="N193" s="38"/>
    </row>
    <row r="194" spans="1:14" s="16" customFormat="1" ht="15.75">
      <c r="A194" s="20"/>
      <c r="B194" s="20"/>
      <c r="C194" s="32"/>
      <c r="D194" s="17" t="s">
        <v>92</v>
      </c>
      <c r="E194" s="60">
        <f>SUM(E153,E164,E186,E193)</f>
        <v>804013.5014899999</v>
      </c>
      <c r="F194" s="60">
        <f>SUM(F153,F164,F186,F193)</f>
        <v>15687079.799999999</v>
      </c>
      <c r="G194" s="60">
        <f>SUM(G153,G164,G186,G193)</f>
        <v>967208.09398</v>
      </c>
      <c r="H194" s="58">
        <f t="shared" si="7"/>
        <v>6.165635072373381</v>
      </c>
      <c r="I194" s="60">
        <f>SUM(I153,I164,I186,I193)</f>
        <v>3022010.8310000002</v>
      </c>
      <c r="J194" s="60">
        <f>SUM(J153,J164,J186,J193)</f>
        <v>967208.09398</v>
      </c>
      <c r="K194" s="58">
        <f t="shared" si="6"/>
        <v>-2054802.7370200003</v>
      </c>
      <c r="L194" s="76">
        <f>J194/I194*100</f>
        <v>32.00544763302339</v>
      </c>
      <c r="M194" s="38"/>
      <c r="N194" s="38"/>
    </row>
    <row r="195" spans="1:14" s="16" customFormat="1" ht="31.5">
      <c r="A195" s="35"/>
      <c r="B195" s="36"/>
      <c r="C195" s="22"/>
      <c r="D195" s="27" t="s">
        <v>93</v>
      </c>
      <c r="E195" s="62">
        <f>E198</f>
        <v>0</v>
      </c>
      <c r="F195" s="62">
        <f>F198</f>
        <v>1598.9</v>
      </c>
      <c r="G195" s="62">
        <f>G198</f>
        <v>0</v>
      </c>
      <c r="H195" s="58">
        <f t="shared" si="7"/>
        <v>0</v>
      </c>
      <c r="I195" s="62">
        <f>I198</f>
        <v>0</v>
      </c>
      <c r="J195" s="62">
        <f>J198</f>
        <v>0</v>
      </c>
      <c r="K195" s="58">
        <f t="shared" si="6"/>
        <v>0</v>
      </c>
      <c r="L195" s="76"/>
      <c r="M195" s="38"/>
      <c r="N195" s="38"/>
    </row>
    <row r="196" spans="1:14" ht="15.75">
      <c r="A196" s="114"/>
      <c r="B196" s="116"/>
      <c r="C196" s="4" t="s">
        <v>94</v>
      </c>
      <c r="D196" s="23" t="s">
        <v>95</v>
      </c>
      <c r="E196" s="56"/>
      <c r="F196" s="56"/>
      <c r="G196" s="56"/>
      <c r="H196" s="53"/>
      <c r="I196" s="56"/>
      <c r="J196" s="56"/>
      <c r="K196" s="53">
        <f t="shared" si="6"/>
        <v>0</v>
      </c>
      <c r="L196" s="75"/>
      <c r="M196" s="3"/>
      <c r="N196" s="3"/>
    </row>
    <row r="197" spans="1:14" ht="31.5">
      <c r="A197" s="114"/>
      <c r="B197" s="116"/>
      <c r="C197" s="66" t="s">
        <v>136</v>
      </c>
      <c r="D197" s="64" t="s">
        <v>140</v>
      </c>
      <c r="E197" s="56"/>
      <c r="F197" s="56">
        <v>1598.9</v>
      </c>
      <c r="G197" s="56"/>
      <c r="H197" s="53">
        <f t="shared" si="7"/>
        <v>0</v>
      </c>
      <c r="I197" s="56"/>
      <c r="J197" s="56"/>
      <c r="K197" s="53">
        <f t="shared" si="6"/>
        <v>0</v>
      </c>
      <c r="L197" s="75"/>
      <c r="M197" s="3"/>
      <c r="N197" s="3"/>
    </row>
    <row r="198" spans="1:14" s="16" customFormat="1" ht="18.75">
      <c r="A198" s="115"/>
      <c r="B198" s="115"/>
      <c r="C198" s="22"/>
      <c r="D198" s="26" t="s">
        <v>21</v>
      </c>
      <c r="E198" s="62">
        <f>SUM(E196:E197)</f>
        <v>0</v>
      </c>
      <c r="F198" s="62">
        <f>SUM(F196:F197)</f>
        <v>1598.9</v>
      </c>
      <c r="G198" s="62">
        <f>SUM(G196:G197)</f>
        <v>0</v>
      </c>
      <c r="H198" s="58">
        <f t="shared" si="7"/>
        <v>0</v>
      </c>
      <c r="I198" s="80">
        <f>SUM(I196:I197)</f>
        <v>0</v>
      </c>
      <c r="J198" s="62">
        <f>SUM(J196:J197)</f>
        <v>0</v>
      </c>
      <c r="K198" s="58">
        <f>J198-I198</f>
        <v>0</v>
      </c>
      <c r="L198" s="76"/>
      <c r="M198" s="38"/>
      <c r="N198" s="38"/>
    </row>
    <row r="199" spans="1:14" ht="13.5" customHeight="1">
      <c r="A199" s="44"/>
      <c r="B199" s="18"/>
      <c r="C199" s="8"/>
      <c r="D199" s="29"/>
      <c r="E199" s="28"/>
      <c r="F199" s="29"/>
      <c r="G199" s="30"/>
      <c r="H199" s="30"/>
      <c r="I199" s="31"/>
      <c r="J199" s="31"/>
      <c r="K199" s="51"/>
      <c r="L199" s="51"/>
      <c r="M199" s="46"/>
      <c r="N199" s="3"/>
    </row>
    <row r="200" spans="1:14" ht="15" customHeight="1">
      <c r="A200" s="117"/>
      <c r="B200" s="118"/>
      <c r="C200" s="118"/>
      <c r="D200" s="118"/>
      <c r="E200" s="118"/>
      <c r="F200" s="118"/>
      <c r="G200" s="118"/>
      <c r="H200" s="118"/>
      <c r="I200" s="31"/>
      <c r="J200" s="31"/>
      <c r="K200" s="51"/>
      <c r="L200" s="51"/>
      <c r="M200" s="46"/>
      <c r="N200" s="3"/>
    </row>
    <row r="201" spans="1:14" ht="15.75" customHeight="1">
      <c r="A201" s="117"/>
      <c r="B201" s="118"/>
      <c r="C201" s="118"/>
      <c r="D201" s="118"/>
      <c r="E201" s="118"/>
      <c r="F201" s="118"/>
      <c r="G201" s="118"/>
      <c r="H201" s="118"/>
      <c r="I201" s="118"/>
      <c r="J201" s="118"/>
      <c r="K201" s="51"/>
      <c r="L201" s="51"/>
      <c r="M201" s="46"/>
      <c r="N201" s="3"/>
    </row>
    <row r="202" spans="1:14" ht="30.75" customHeight="1">
      <c r="A202" s="21"/>
      <c r="B202" s="21"/>
      <c r="C202" s="47"/>
      <c r="D202" s="48"/>
      <c r="E202" s="49"/>
      <c r="F202" s="49"/>
      <c r="G202" s="49"/>
      <c r="H202" s="45"/>
      <c r="I202" s="50"/>
      <c r="J202" s="50"/>
      <c r="K202" s="51"/>
      <c r="L202" s="51"/>
      <c r="M202" s="46"/>
      <c r="N202" s="3"/>
    </row>
    <row r="203" spans="1:14" ht="30.75" customHeight="1">
      <c r="A203" s="21"/>
      <c r="B203" s="21"/>
      <c r="C203" s="47"/>
      <c r="D203" s="48"/>
      <c r="E203" s="49"/>
      <c r="F203" s="49"/>
      <c r="G203" s="49"/>
      <c r="H203" s="45"/>
      <c r="I203" s="50"/>
      <c r="J203" s="50"/>
      <c r="K203" s="51"/>
      <c r="L203" s="51"/>
      <c r="M203" s="46"/>
      <c r="N203" s="3"/>
    </row>
    <row r="204" spans="1:14" ht="30.75" customHeight="1">
      <c r="A204" s="21"/>
      <c r="B204" s="21"/>
      <c r="C204" s="47"/>
      <c r="D204" s="48"/>
      <c r="E204" s="49"/>
      <c r="F204" s="49"/>
      <c r="G204" s="49"/>
      <c r="H204" s="45"/>
      <c r="I204" s="51"/>
      <c r="J204" s="51"/>
      <c r="K204" s="51"/>
      <c r="L204" s="51"/>
      <c r="M204" s="46"/>
      <c r="N204" s="3"/>
    </row>
    <row r="205" spans="1:14" ht="30.75" customHeight="1">
      <c r="A205" s="21"/>
      <c r="B205" s="21"/>
      <c r="C205" s="47"/>
      <c r="D205" s="48"/>
      <c r="E205" s="49"/>
      <c r="F205" s="49"/>
      <c r="G205" s="49"/>
      <c r="H205" s="45"/>
      <c r="I205" s="51"/>
      <c r="J205" s="51"/>
      <c r="K205" s="51"/>
      <c r="L205" s="51"/>
      <c r="M205" s="46"/>
      <c r="N205" s="3"/>
    </row>
    <row r="206" spans="1:13" ht="15.75">
      <c r="A206" s="44"/>
      <c r="B206" s="18"/>
      <c r="C206" s="8"/>
      <c r="D206" s="30"/>
      <c r="E206" s="29"/>
      <c r="F206" s="29"/>
      <c r="G206" s="30"/>
      <c r="H206" s="30"/>
      <c r="I206" s="31"/>
      <c r="J206" s="31"/>
      <c r="K206" s="31"/>
      <c r="L206" s="31"/>
      <c r="M206" s="52"/>
    </row>
    <row r="207" spans="1:13" ht="15.75">
      <c r="A207" s="44"/>
      <c r="B207" s="18"/>
      <c r="C207" s="8"/>
      <c r="D207" s="30"/>
      <c r="E207" s="29"/>
      <c r="F207" s="29"/>
      <c r="G207" s="30"/>
      <c r="H207" s="30"/>
      <c r="I207" s="31"/>
      <c r="J207" s="31"/>
      <c r="K207" s="31"/>
      <c r="L207" s="31"/>
      <c r="M207" s="52"/>
    </row>
    <row r="208" spans="1:13" ht="15.75">
      <c r="A208" s="44"/>
      <c r="B208" s="18"/>
      <c r="C208" s="8"/>
      <c r="D208" s="30"/>
      <c r="E208" s="29"/>
      <c r="F208" s="29"/>
      <c r="G208" s="30"/>
      <c r="H208" s="30"/>
      <c r="I208" s="31"/>
      <c r="J208" s="31"/>
      <c r="K208" s="31"/>
      <c r="L208" s="31"/>
      <c r="M208" s="52"/>
    </row>
    <row r="209" spans="1:13" ht="15.75">
      <c r="A209" s="44"/>
      <c r="B209" s="18"/>
      <c r="C209" s="8"/>
      <c r="D209" s="30"/>
      <c r="E209" s="29"/>
      <c r="F209" s="29"/>
      <c r="G209" s="30"/>
      <c r="H209" s="30"/>
      <c r="I209" s="31"/>
      <c r="J209" s="31"/>
      <c r="K209" s="31"/>
      <c r="L209" s="31"/>
      <c r="M209" s="52"/>
    </row>
    <row r="210" spans="1:13" ht="15.75">
      <c r="A210" s="44"/>
      <c r="B210" s="18"/>
      <c r="C210" s="8"/>
      <c r="D210" s="30"/>
      <c r="E210" s="29"/>
      <c r="F210" s="29"/>
      <c r="G210" s="30"/>
      <c r="H210" s="30"/>
      <c r="I210" s="31"/>
      <c r="J210" s="31"/>
      <c r="K210" s="31"/>
      <c r="L210" s="31"/>
      <c r="M210" s="52"/>
    </row>
    <row r="211" spans="1:12" ht="15.75">
      <c r="A211" s="40"/>
      <c r="B211" s="18"/>
      <c r="C211" s="8"/>
      <c r="D211" s="30"/>
      <c r="E211" s="29"/>
      <c r="F211" s="29"/>
      <c r="G211" s="30"/>
      <c r="H211" s="30"/>
      <c r="I211" s="31"/>
      <c r="J211" s="31"/>
      <c r="K211" s="31"/>
      <c r="L211" s="31"/>
    </row>
    <row r="212" spans="1:12" ht="15.75">
      <c r="A212" s="40"/>
      <c r="B212" s="18"/>
      <c r="C212" s="8"/>
      <c r="D212" s="30"/>
      <c r="E212" s="29"/>
      <c r="F212" s="29"/>
      <c r="G212" s="30"/>
      <c r="H212" s="30"/>
      <c r="I212" s="31"/>
      <c r="J212" s="31"/>
      <c r="K212" s="31"/>
      <c r="L212" s="31"/>
    </row>
    <row r="213" spans="1:12" ht="15.75">
      <c r="A213" s="40"/>
      <c r="B213" s="18"/>
      <c r="C213" s="8"/>
      <c r="D213" s="30"/>
      <c r="E213" s="29"/>
      <c r="F213" s="29"/>
      <c r="G213" s="30"/>
      <c r="H213" s="30"/>
      <c r="I213" s="31"/>
      <c r="J213" s="31"/>
      <c r="K213" s="31"/>
      <c r="L213" s="31"/>
    </row>
    <row r="214" spans="1:12" ht="15.75">
      <c r="A214" s="40"/>
      <c r="B214" s="18"/>
      <c r="C214" s="8"/>
      <c r="D214" s="30"/>
      <c r="E214" s="29"/>
      <c r="F214" s="29"/>
      <c r="G214" s="30"/>
      <c r="H214" s="30"/>
      <c r="I214" s="31"/>
      <c r="J214" s="31"/>
      <c r="K214" s="31"/>
      <c r="L214" s="31"/>
    </row>
    <row r="215" spans="1:12" ht="15.75">
      <c r="A215" s="40"/>
      <c r="B215" s="18"/>
      <c r="C215" s="8"/>
      <c r="D215" s="30"/>
      <c r="E215" s="29"/>
      <c r="F215" s="29"/>
      <c r="G215" s="30"/>
      <c r="H215" s="30"/>
      <c r="I215" s="31"/>
      <c r="J215" s="31"/>
      <c r="K215" s="31"/>
      <c r="L215" s="31"/>
    </row>
    <row r="216" spans="1:12" ht="15.75">
      <c r="A216" s="40"/>
      <c r="B216" s="18"/>
      <c r="C216" s="8"/>
      <c r="D216" s="30"/>
      <c r="E216" s="29"/>
      <c r="F216" s="29"/>
      <c r="G216" s="30"/>
      <c r="H216" s="30"/>
      <c r="I216" s="31"/>
      <c r="J216" s="31"/>
      <c r="K216" s="31"/>
      <c r="L216" s="31"/>
    </row>
    <row r="217" spans="1:12" ht="15.75">
      <c r="A217" s="40"/>
      <c r="B217" s="18"/>
      <c r="C217" s="8"/>
      <c r="D217" s="30"/>
      <c r="E217" s="29"/>
      <c r="F217" s="29"/>
      <c r="G217" s="30"/>
      <c r="H217" s="30"/>
      <c r="I217" s="31"/>
      <c r="J217" s="31"/>
      <c r="K217" s="31"/>
      <c r="L217" s="31"/>
    </row>
    <row r="218" spans="1:12" ht="15.75">
      <c r="A218" s="40"/>
      <c r="B218" s="18"/>
      <c r="C218" s="8"/>
      <c r="D218" s="30"/>
      <c r="E218" s="29"/>
      <c r="F218" s="29"/>
      <c r="G218" s="30"/>
      <c r="H218" s="30"/>
      <c r="I218" s="31"/>
      <c r="J218" s="31"/>
      <c r="K218" s="31"/>
      <c r="L218" s="31"/>
    </row>
    <row r="219" spans="1:12" ht="15.75">
      <c r="A219" s="40"/>
      <c r="B219" s="18"/>
      <c r="C219" s="8"/>
      <c r="D219" s="30"/>
      <c r="E219" s="29"/>
      <c r="F219" s="29"/>
      <c r="G219" s="30"/>
      <c r="H219" s="30"/>
      <c r="I219" s="31"/>
      <c r="J219" s="31"/>
      <c r="K219" s="31"/>
      <c r="L219" s="31"/>
    </row>
    <row r="220" spans="1:12" ht="15.75">
      <c r="A220" s="40"/>
      <c r="B220" s="18"/>
      <c r="C220" s="8"/>
      <c r="D220" s="30"/>
      <c r="E220" s="29"/>
      <c r="F220" s="29"/>
      <c r="G220" s="30"/>
      <c r="H220" s="30"/>
      <c r="I220" s="31"/>
      <c r="J220" s="31"/>
      <c r="K220" s="31"/>
      <c r="L220" s="31"/>
    </row>
    <row r="221" spans="1:12" ht="15.75">
      <c r="A221" s="40"/>
      <c r="B221" s="18"/>
      <c r="C221" s="8"/>
      <c r="D221" s="30"/>
      <c r="E221" s="29"/>
      <c r="F221" s="29"/>
      <c r="G221" s="30"/>
      <c r="H221" s="30"/>
      <c r="I221" s="31"/>
      <c r="J221" s="31"/>
      <c r="K221" s="31"/>
      <c r="L221" s="31"/>
    </row>
    <row r="222" spans="1:12" ht="15.75">
      <c r="A222" s="40"/>
      <c r="B222" s="18"/>
      <c r="C222" s="8"/>
      <c r="D222" s="29"/>
      <c r="E222" s="29"/>
      <c r="F222" s="29"/>
      <c r="G222" s="30"/>
      <c r="H222" s="30"/>
      <c r="I222" s="31"/>
      <c r="J222" s="31"/>
      <c r="K222" s="31"/>
      <c r="L222" s="31"/>
    </row>
    <row r="223" spans="1:12" ht="15.75">
      <c r="A223" s="40"/>
      <c r="B223" s="18"/>
      <c r="C223" s="8"/>
      <c r="D223" s="29"/>
      <c r="E223" s="29"/>
      <c r="F223" s="29"/>
      <c r="G223" s="30"/>
      <c r="H223" s="30"/>
      <c r="I223" s="31"/>
      <c r="J223" s="31"/>
      <c r="K223" s="31"/>
      <c r="L223" s="31"/>
    </row>
    <row r="224" spans="1:12" ht="15.75">
      <c r="A224" s="40"/>
      <c r="B224" s="18"/>
      <c r="C224" s="8"/>
      <c r="D224" s="29"/>
      <c r="E224" s="29"/>
      <c r="F224" s="29"/>
      <c r="G224" s="30"/>
      <c r="H224" s="30"/>
      <c r="I224" s="31"/>
      <c r="J224" s="31"/>
      <c r="K224" s="31"/>
      <c r="L224" s="31"/>
    </row>
    <row r="225" spans="1:12" ht="15.75">
      <c r="A225" s="40"/>
      <c r="B225" s="18"/>
      <c r="C225" s="8"/>
      <c r="D225" s="29"/>
      <c r="E225" s="29"/>
      <c r="F225" s="29"/>
      <c r="G225" s="30"/>
      <c r="H225" s="30"/>
      <c r="I225" s="31"/>
      <c r="J225" s="31"/>
      <c r="K225" s="31"/>
      <c r="L225" s="31"/>
    </row>
    <row r="226" spans="1:12" ht="15.75">
      <c r="A226" s="40"/>
      <c r="B226" s="18"/>
      <c r="C226" s="8"/>
      <c r="D226" s="29"/>
      <c r="E226" s="29"/>
      <c r="F226" s="29"/>
      <c r="G226" s="30"/>
      <c r="H226" s="30"/>
      <c r="I226" s="31"/>
      <c r="J226" s="31"/>
      <c r="K226" s="31"/>
      <c r="L226" s="31"/>
    </row>
    <row r="227" spans="1:12" ht="15.75">
      <c r="A227" s="40"/>
      <c r="B227" s="18"/>
      <c r="C227" s="8"/>
      <c r="D227" s="29"/>
      <c r="E227" s="29"/>
      <c r="F227" s="29"/>
      <c r="G227" s="30"/>
      <c r="H227" s="30"/>
      <c r="I227" s="31"/>
      <c r="J227" s="31"/>
      <c r="K227" s="31"/>
      <c r="L227" s="31"/>
    </row>
    <row r="228" spans="1:12" ht="15.75">
      <c r="A228" s="40"/>
      <c r="B228" s="18"/>
      <c r="C228" s="8"/>
      <c r="D228" s="29"/>
      <c r="E228" s="29"/>
      <c r="F228" s="29"/>
      <c r="G228" s="30"/>
      <c r="H228" s="30"/>
      <c r="I228" s="31"/>
      <c r="J228" s="31"/>
      <c r="K228" s="31"/>
      <c r="L228" s="31"/>
    </row>
    <row r="229" spans="1:12" ht="15.75">
      <c r="A229" s="40"/>
      <c r="B229" s="18"/>
      <c r="C229" s="8"/>
      <c r="D229" s="29"/>
      <c r="E229" s="29"/>
      <c r="F229" s="29"/>
      <c r="G229" s="30"/>
      <c r="H229" s="30"/>
      <c r="I229" s="31"/>
      <c r="J229" s="31"/>
      <c r="K229" s="31"/>
      <c r="L229" s="31"/>
    </row>
    <row r="230" spans="1:12" ht="15.75">
      <c r="A230" s="40"/>
      <c r="B230" s="18"/>
      <c r="C230" s="8"/>
      <c r="D230" s="29"/>
      <c r="E230" s="29"/>
      <c r="F230" s="29"/>
      <c r="G230" s="30"/>
      <c r="H230" s="30"/>
      <c r="I230" s="31"/>
      <c r="J230" s="31"/>
      <c r="K230" s="31"/>
      <c r="L230" s="31"/>
    </row>
    <row r="231" spans="1:12" ht="15.75">
      <c r="A231" s="40"/>
      <c r="B231" s="18"/>
      <c r="C231" s="8"/>
      <c r="D231" s="29"/>
      <c r="E231" s="29"/>
      <c r="F231" s="29"/>
      <c r="G231" s="30"/>
      <c r="H231" s="30"/>
      <c r="I231" s="31"/>
      <c r="J231" s="31"/>
      <c r="K231" s="31"/>
      <c r="L231" s="31"/>
    </row>
    <row r="232" spans="1:12" ht="15.75">
      <c r="A232" s="40"/>
      <c r="B232" s="18"/>
      <c r="C232" s="8"/>
      <c r="D232" s="29"/>
      <c r="E232" s="29"/>
      <c r="F232" s="29"/>
      <c r="G232" s="30"/>
      <c r="H232" s="30"/>
      <c r="I232" s="31"/>
      <c r="J232" s="31"/>
      <c r="K232" s="31"/>
      <c r="L232" s="31"/>
    </row>
    <row r="233" spans="1:12" ht="15.75">
      <c r="A233" s="40"/>
      <c r="B233" s="18"/>
      <c r="C233" s="8"/>
      <c r="D233" s="29"/>
      <c r="E233" s="29"/>
      <c r="F233" s="29"/>
      <c r="G233" s="30"/>
      <c r="H233" s="30"/>
      <c r="I233" s="31"/>
      <c r="J233" s="31"/>
      <c r="K233" s="31"/>
      <c r="L233" s="31"/>
    </row>
    <row r="234" spans="1:12" ht="15.75">
      <c r="A234" s="40"/>
      <c r="B234" s="18"/>
      <c r="C234" s="8"/>
      <c r="D234" s="29"/>
      <c r="E234" s="29"/>
      <c r="F234" s="29"/>
      <c r="G234" s="30"/>
      <c r="H234" s="30"/>
      <c r="I234" s="31"/>
      <c r="J234" s="31"/>
      <c r="K234" s="31"/>
      <c r="L234" s="31"/>
    </row>
    <row r="235" spans="2:12" ht="15.75">
      <c r="B235" s="19"/>
      <c r="C235" s="8"/>
      <c r="D235" s="29"/>
      <c r="E235" s="29"/>
      <c r="F235" s="29"/>
      <c r="G235" s="30"/>
      <c r="H235" s="30"/>
      <c r="I235" s="31"/>
      <c r="J235" s="31"/>
      <c r="K235" s="31"/>
      <c r="L235" s="31"/>
    </row>
    <row r="236" spans="2:12" ht="15.75">
      <c r="B236" s="19"/>
      <c r="C236" s="8"/>
      <c r="D236" s="29"/>
      <c r="E236" s="29"/>
      <c r="F236" s="29"/>
      <c r="G236" s="30"/>
      <c r="H236" s="30"/>
      <c r="I236" s="31"/>
      <c r="J236" s="31"/>
      <c r="K236" s="31"/>
      <c r="L236" s="31"/>
    </row>
    <row r="237" spans="2:12" ht="15.75">
      <c r="B237" s="19"/>
      <c r="C237" s="8"/>
      <c r="D237" s="29"/>
      <c r="E237" s="29"/>
      <c r="F237" s="29"/>
      <c r="G237" s="30"/>
      <c r="H237" s="30"/>
      <c r="I237" s="31"/>
      <c r="J237" s="31"/>
      <c r="K237" s="31"/>
      <c r="L237" s="31"/>
    </row>
    <row r="238" spans="2:12" ht="15.75">
      <c r="B238" s="19"/>
      <c r="C238" s="8"/>
      <c r="D238" s="29"/>
      <c r="E238" s="29"/>
      <c r="F238" s="29"/>
      <c r="G238" s="30"/>
      <c r="H238" s="30"/>
      <c r="I238" s="31"/>
      <c r="J238" s="31"/>
      <c r="K238" s="31"/>
      <c r="L238" s="31"/>
    </row>
    <row r="239" spans="2:12" ht="15.75">
      <c r="B239" s="19"/>
      <c r="C239" s="8"/>
      <c r="D239" s="29"/>
      <c r="E239" s="29"/>
      <c r="F239" s="29"/>
      <c r="G239" s="30"/>
      <c r="H239" s="30"/>
      <c r="I239" s="31"/>
      <c r="J239" s="31"/>
      <c r="K239" s="31"/>
      <c r="L239" s="31"/>
    </row>
    <row r="240" spans="2:12" ht="15.75">
      <c r="B240" s="19"/>
      <c r="C240" s="8"/>
      <c r="D240" s="29"/>
      <c r="E240" s="29"/>
      <c r="F240" s="29"/>
      <c r="G240" s="30"/>
      <c r="H240" s="30"/>
      <c r="I240" s="31"/>
      <c r="J240" s="31"/>
      <c r="K240" s="31"/>
      <c r="L240" s="31"/>
    </row>
    <row r="241" spans="2:12" ht="15.75">
      <c r="B241" s="19"/>
      <c r="C241" s="8"/>
      <c r="D241" s="29"/>
      <c r="E241" s="29"/>
      <c r="F241" s="29"/>
      <c r="G241" s="30"/>
      <c r="H241" s="30"/>
      <c r="I241" s="31"/>
      <c r="J241" s="31"/>
      <c r="K241" s="31"/>
      <c r="L241" s="31"/>
    </row>
    <row r="242" spans="2:12" ht="15.75">
      <c r="B242" s="19"/>
      <c r="C242" s="8"/>
      <c r="D242" s="29"/>
      <c r="E242" s="29"/>
      <c r="F242" s="29"/>
      <c r="G242" s="30"/>
      <c r="H242" s="30"/>
      <c r="I242" s="31"/>
      <c r="J242" s="31"/>
      <c r="K242" s="31"/>
      <c r="L242" s="31"/>
    </row>
    <row r="243" spans="2:12" ht="15.75">
      <c r="B243" s="19"/>
      <c r="C243" s="8"/>
      <c r="D243" s="29"/>
      <c r="E243" s="29"/>
      <c r="F243" s="29"/>
      <c r="G243" s="30"/>
      <c r="H243" s="30"/>
      <c r="I243" s="31"/>
      <c r="J243" s="31"/>
      <c r="K243" s="31"/>
      <c r="L243" s="31"/>
    </row>
    <row r="244" spans="2:12" ht="15.75">
      <c r="B244" s="19"/>
      <c r="C244" s="8"/>
      <c r="D244" s="29"/>
      <c r="E244" s="29"/>
      <c r="F244" s="29"/>
      <c r="G244" s="30"/>
      <c r="H244" s="30"/>
      <c r="I244" s="31"/>
      <c r="J244" s="31"/>
      <c r="K244" s="31"/>
      <c r="L244" s="31"/>
    </row>
    <row r="245" spans="2:12" ht="15.75">
      <c r="B245" s="19"/>
      <c r="C245" s="8"/>
      <c r="D245" s="29"/>
      <c r="E245" s="29"/>
      <c r="F245" s="29"/>
      <c r="G245" s="30"/>
      <c r="H245" s="30"/>
      <c r="I245" s="31"/>
      <c r="J245" s="31"/>
      <c r="K245" s="31"/>
      <c r="L245" s="31"/>
    </row>
    <row r="246" spans="2:12" ht="15.75">
      <c r="B246" s="19"/>
      <c r="C246" s="8"/>
      <c r="D246" s="29"/>
      <c r="E246" s="29"/>
      <c r="F246" s="29"/>
      <c r="G246" s="30"/>
      <c r="H246" s="30"/>
      <c r="I246" s="31"/>
      <c r="J246" s="31"/>
      <c r="K246" s="31"/>
      <c r="L246" s="31"/>
    </row>
    <row r="247" spans="2:12" ht="15.75">
      <c r="B247" s="19"/>
      <c r="C247" s="8"/>
      <c r="D247" s="29"/>
      <c r="E247" s="29"/>
      <c r="F247" s="29"/>
      <c r="G247" s="30"/>
      <c r="H247" s="30"/>
      <c r="I247" s="31"/>
      <c r="J247" s="31"/>
      <c r="K247" s="31"/>
      <c r="L247" s="31"/>
    </row>
    <row r="248" spans="2:12" ht="15.75">
      <c r="B248" s="19"/>
      <c r="C248" s="8"/>
      <c r="D248" s="29"/>
      <c r="E248" s="29"/>
      <c r="F248" s="29"/>
      <c r="G248" s="30"/>
      <c r="H248" s="30"/>
      <c r="I248" s="31"/>
      <c r="J248" s="31"/>
      <c r="K248" s="31"/>
      <c r="L248" s="31"/>
    </row>
    <row r="249" spans="2:12" ht="15.75">
      <c r="B249" s="19"/>
      <c r="C249" s="8"/>
      <c r="D249" s="29"/>
      <c r="E249" s="29"/>
      <c r="F249" s="29"/>
      <c r="G249" s="30"/>
      <c r="H249" s="30"/>
      <c r="I249" s="31"/>
      <c r="J249" s="31"/>
      <c r="K249" s="31"/>
      <c r="L249" s="31"/>
    </row>
    <row r="250" spans="2:12" ht="15.75">
      <c r="B250" s="19"/>
      <c r="C250" s="8"/>
      <c r="D250" s="29"/>
      <c r="E250" s="29"/>
      <c r="F250" s="29"/>
      <c r="G250" s="30"/>
      <c r="H250" s="30"/>
      <c r="I250" s="31"/>
      <c r="J250" s="31"/>
      <c r="K250" s="31"/>
      <c r="L250" s="31"/>
    </row>
    <row r="251" spans="2:12" ht="15.75">
      <c r="B251" s="19"/>
      <c r="C251" s="8"/>
      <c r="D251" s="29"/>
      <c r="E251" s="29"/>
      <c r="F251" s="29"/>
      <c r="G251" s="30"/>
      <c r="H251" s="30"/>
      <c r="I251" s="31"/>
      <c r="J251" s="31"/>
      <c r="K251" s="31"/>
      <c r="L251" s="31"/>
    </row>
    <row r="252" spans="2:12" ht="15.75">
      <c r="B252" s="19"/>
      <c r="C252" s="8"/>
      <c r="D252" s="29"/>
      <c r="E252" s="29"/>
      <c r="F252" s="29"/>
      <c r="G252" s="30"/>
      <c r="H252" s="30"/>
      <c r="I252" s="31"/>
      <c r="J252" s="31"/>
      <c r="K252" s="31"/>
      <c r="L252" s="31"/>
    </row>
    <row r="253" spans="2:12" ht="15.75">
      <c r="B253" s="19"/>
      <c r="C253" s="8"/>
      <c r="D253" s="29"/>
      <c r="E253" s="29"/>
      <c r="F253" s="29"/>
      <c r="G253" s="30"/>
      <c r="H253" s="30"/>
      <c r="I253" s="31"/>
      <c r="J253" s="31"/>
      <c r="K253" s="31"/>
      <c r="L253" s="31"/>
    </row>
    <row r="254" spans="2:12" ht="15.75">
      <c r="B254" s="19"/>
      <c r="C254" s="8"/>
      <c r="D254" s="29"/>
      <c r="E254" s="29"/>
      <c r="F254" s="29"/>
      <c r="G254" s="30"/>
      <c r="H254" s="30"/>
      <c r="I254" s="31"/>
      <c r="J254" s="31"/>
      <c r="K254" s="31"/>
      <c r="L254" s="31"/>
    </row>
    <row r="255" spans="2:12" ht="15.75">
      <c r="B255" s="19"/>
      <c r="C255" s="8"/>
      <c r="D255" s="29"/>
      <c r="E255" s="29"/>
      <c r="F255" s="29"/>
      <c r="G255" s="30"/>
      <c r="H255" s="30"/>
      <c r="I255" s="31"/>
      <c r="J255" s="31"/>
      <c r="K255" s="31"/>
      <c r="L255" s="31"/>
    </row>
    <row r="256" spans="2:12" ht="15.75">
      <c r="B256" s="19"/>
      <c r="C256" s="8"/>
      <c r="D256" s="29"/>
      <c r="E256" s="29"/>
      <c r="F256" s="29"/>
      <c r="G256" s="30"/>
      <c r="H256" s="30"/>
      <c r="I256" s="31"/>
      <c r="J256" s="31"/>
      <c r="K256" s="31"/>
      <c r="L256" s="31"/>
    </row>
    <row r="257" spans="2:12" ht="15.75">
      <c r="B257" s="19"/>
      <c r="C257" s="8"/>
      <c r="D257" s="29"/>
      <c r="E257" s="29"/>
      <c r="F257" s="29"/>
      <c r="G257" s="30"/>
      <c r="H257" s="30"/>
      <c r="I257" s="31"/>
      <c r="J257" s="31"/>
      <c r="K257" s="31"/>
      <c r="L257" s="31"/>
    </row>
    <row r="258" spans="2:12" ht="15.75">
      <c r="B258" s="19"/>
      <c r="C258" s="8"/>
      <c r="D258" s="29"/>
      <c r="E258" s="29"/>
      <c r="F258" s="29"/>
      <c r="G258" s="30"/>
      <c r="H258" s="30"/>
      <c r="I258" s="31"/>
      <c r="J258" s="31"/>
      <c r="K258" s="31"/>
      <c r="L258" s="31"/>
    </row>
    <row r="259" spans="2:12" ht="15.75">
      <c r="B259" s="19"/>
      <c r="C259" s="8"/>
      <c r="D259" s="29"/>
      <c r="E259" s="29"/>
      <c r="F259" s="29"/>
      <c r="G259" s="30"/>
      <c r="H259" s="30"/>
      <c r="I259" s="31"/>
      <c r="J259" s="31"/>
      <c r="K259" s="31"/>
      <c r="L259" s="31"/>
    </row>
    <row r="260" spans="2:12" ht="15.75">
      <c r="B260" s="19"/>
      <c r="C260" s="8"/>
      <c r="D260" s="29"/>
      <c r="E260" s="29"/>
      <c r="F260" s="29"/>
      <c r="G260" s="30"/>
      <c r="H260" s="30"/>
      <c r="I260" s="31"/>
      <c r="J260" s="31"/>
      <c r="K260" s="31"/>
      <c r="L260" s="31"/>
    </row>
    <row r="261" spans="2:12" ht="15.75">
      <c r="B261" s="19"/>
      <c r="C261" s="8"/>
      <c r="D261" s="29"/>
      <c r="E261" s="29"/>
      <c r="F261" s="29"/>
      <c r="G261" s="30"/>
      <c r="H261" s="30"/>
      <c r="I261" s="31"/>
      <c r="J261" s="31"/>
      <c r="K261" s="31"/>
      <c r="L261" s="31"/>
    </row>
    <row r="262" spans="2:12" ht="15.75">
      <c r="B262" s="19"/>
      <c r="C262" s="8"/>
      <c r="D262" s="29"/>
      <c r="E262" s="29"/>
      <c r="F262" s="29"/>
      <c r="G262" s="30"/>
      <c r="H262" s="30"/>
      <c r="I262" s="31"/>
      <c r="J262" s="31"/>
      <c r="K262" s="31"/>
      <c r="L262" s="31"/>
    </row>
    <row r="263" spans="2:12" ht="15.75">
      <c r="B263" s="19"/>
      <c r="C263" s="8"/>
      <c r="D263" s="29"/>
      <c r="E263" s="29"/>
      <c r="F263" s="29"/>
      <c r="G263" s="30"/>
      <c r="H263" s="30"/>
      <c r="I263" s="31"/>
      <c r="J263" s="31"/>
      <c r="K263" s="31"/>
      <c r="L263" s="31"/>
    </row>
    <row r="264" spans="2:12" ht="15.75">
      <c r="B264" s="19"/>
      <c r="C264" s="8"/>
      <c r="D264" s="29"/>
      <c r="E264" s="29"/>
      <c r="F264" s="29"/>
      <c r="G264" s="30"/>
      <c r="H264" s="30"/>
      <c r="I264" s="31"/>
      <c r="J264" s="31"/>
      <c r="K264" s="31"/>
      <c r="L264" s="31"/>
    </row>
    <row r="265" spans="2:12" ht="15.75">
      <c r="B265" s="19"/>
      <c r="C265" s="8"/>
      <c r="D265" s="29"/>
      <c r="E265" s="29"/>
      <c r="F265" s="29"/>
      <c r="G265" s="30"/>
      <c r="H265" s="30"/>
      <c r="I265" s="31"/>
      <c r="J265" s="31"/>
      <c r="K265" s="31"/>
      <c r="L265" s="31"/>
    </row>
    <row r="266" spans="2:12" ht="15.75">
      <c r="B266" s="19"/>
      <c r="C266" s="8"/>
      <c r="D266" s="29"/>
      <c r="E266" s="29"/>
      <c r="F266" s="29"/>
      <c r="G266" s="30"/>
      <c r="H266" s="30"/>
      <c r="I266" s="31"/>
      <c r="J266" s="31"/>
      <c r="K266" s="31"/>
      <c r="L266" s="31"/>
    </row>
    <row r="267" spans="2:12" ht="15.75">
      <c r="B267" s="19"/>
      <c r="C267" s="8"/>
      <c r="D267" s="29"/>
      <c r="E267" s="29"/>
      <c r="F267" s="29"/>
      <c r="G267" s="30"/>
      <c r="H267" s="30"/>
      <c r="I267" s="31"/>
      <c r="J267" s="31"/>
      <c r="K267" s="31"/>
      <c r="L267" s="31"/>
    </row>
    <row r="268" spans="2:12" ht="15.75">
      <c r="B268" s="19"/>
      <c r="C268" s="8"/>
      <c r="D268" s="29"/>
      <c r="E268" s="29"/>
      <c r="F268" s="29"/>
      <c r="G268" s="30"/>
      <c r="H268" s="30"/>
      <c r="I268" s="31"/>
      <c r="J268" s="31"/>
      <c r="K268" s="31"/>
      <c r="L268" s="31"/>
    </row>
    <row r="269" spans="2:12" ht="15.75">
      <c r="B269" s="19"/>
      <c r="C269" s="8"/>
      <c r="D269" s="29"/>
      <c r="E269" s="29"/>
      <c r="F269" s="29"/>
      <c r="G269" s="30"/>
      <c r="H269" s="30"/>
      <c r="I269" s="31"/>
      <c r="J269" s="31"/>
      <c r="K269" s="31"/>
      <c r="L269" s="31"/>
    </row>
    <row r="270" spans="2:12" ht="15.75">
      <c r="B270" s="19"/>
      <c r="C270" s="8"/>
      <c r="D270" s="29"/>
      <c r="E270" s="29"/>
      <c r="F270" s="29"/>
      <c r="G270" s="30"/>
      <c r="H270" s="30"/>
      <c r="I270" s="31"/>
      <c r="J270" s="31"/>
      <c r="K270" s="31"/>
      <c r="L270" s="31"/>
    </row>
    <row r="271" spans="2:12" ht="15.75">
      <c r="B271" s="19"/>
      <c r="C271" s="8"/>
      <c r="D271" s="29"/>
      <c r="E271" s="29"/>
      <c r="F271" s="29"/>
      <c r="G271" s="30"/>
      <c r="H271" s="30"/>
      <c r="I271" s="31"/>
      <c r="J271" s="31"/>
      <c r="K271" s="31"/>
      <c r="L271" s="31"/>
    </row>
    <row r="272" spans="2:12" ht="15.75">
      <c r="B272" s="19"/>
      <c r="C272" s="8"/>
      <c r="D272" s="29"/>
      <c r="E272" s="29"/>
      <c r="F272" s="29"/>
      <c r="G272" s="30"/>
      <c r="H272" s="30"/>
      <c r="I272" s="31"/>
      <c r="J272" s="31"/>
      <c r="K272" s="31"/>
      <c r="L272" s="31"/>
    </row>
    <row r="273" spans="2:12" ht="15.75">
      <c r="B273" s="19"/>
      <c r="C273" s="8"/>
      <c r="D273" s="29"/>
      <c r="E273" s="29"/>
      <c r="F273" s="29"/>
      <c r="G273" s="30"/>
      <c r="H273" s="30"/>
      <c r="I273" s="31"/>
      <c r="J273" s="31"/>
      <c r="K273" s="31"/>
      <c r="L273" s="31"/>
    </row>
    <row r="274" spans="2:12" ht="15.75">
      <c r="B274" s="19"/>
      <c r="C274" s="8"/>
      <c r="D274" s="29"/>
      <c r="E274" s="29"/>
      <c r="F274" s="29"/>
      <c r="G274" s="30"/>
      <c r="H274" s="30"/>
      <c r="I274" s="31"/>
      <c r="J274" s="31"/>
      <c r="K274" s="31"/>
      <c r="L274" s="31"/>
    </row>
    <row r="275" spans="2:12" ht="15.75">
      <c r="B275" s="19"/>
      <c r="C275" s="8"/>
      <c r="D275" s="29"/>
      <c r="E275" s="29"/>
      <c r="F275" s="29"/>
      <c r="G275" s="30"/>
      <c r="H275" s="30"/>
      <c r="I275" s="31"/>
      <c r="J275" s="31"/>
      <c r="K275" s="31"/>
      <c r="L275" s="31"/>
    </row>
    <row r="276" spans="2:12" ht="15.75">
      <c r="B276" s="19"/>
      <c r="C276" s="8"/>
      <c r="D276" s="29"/>
      <c r="E276" s="29"/>
      <c r="F276" s="29"/>
      <c r="G276" s="30"/>
      <c r="H276" s="30"/>
      <c r="I276" s="31"/>
      <c r="J276" s="31"/>
      <c r="K276" s="31"/>
      <c r="L276" s="31"/>
    </row>
    <row r="277" spans="2:12" ht="15.75">
      <c r="B277" s="19"/>
      <c r="C277" s="8"/>
      <c r="D277" s="29"/>
      <c r="E277" s="29"/>
      <c r="F277" s="29"/>
      <c r="G277" s="30"/>
      <c r="H277" s="30"/>
      <c r="I277" s="31"/>
      <c r="J277" s="31"/>
      <c r="K277" s="31"/>
      <c r="L277" s="31"/>
    </row>
    <row r="278" spans="2:12" ht="15.75">
      <c r="B278" s="19"/>
      <c r="C278" s="8"/>
      <c r="D278" s="29"/>
      <c r="E278" s="29"/>
      <c r="F278" s="29"/>
      <c r="G278" s="30"/>
      <c r="H278" s="30"/>
      <c r="I278" s="31"/>
      <c r="J278" s="31"/>
      <c r="K278" s="31"/>
      <c r="L278" s="31"/>
    </row>
    <row r="279" spans="2:12" ht="15.75">
      <c r="B279" s="19"/>
      <c r="C279" s="8"/>
      <c r="D279" s="29"/>
      <c r="E279" s="29"/>
      <c r="F279" s="29"/>
      <c r="G279" s="30"/>
      <c r="H279" s="30"/>
      <c r="I279" s="31"/>
      <c r="J279" s="31"/>
      <c r="K279" s="31"/>
      <c r="L279" s="31"/>
    </row>
    <row r="280" spans="2:12" ht="15.75">
      <c r="B280" s="19"/>
      <c r="C280" s="8"/>
      <c r="D280" s="29"/>
      <c r="E280" s="29"/>
      <c r="F280" s="29"/>
      <c r="G280" s="30"/>
      <c r="H280" s="30"/>
      <c r="I280" s="31"/>
      <c r="J280" s="31"/>
      <c r="K280" s="31"/>
      <c r="L280" s="31"/>
    </row>
    <row r="281" spans="2:12" ht="15.75">
      <c r="B281" s="19"/>
      <c r="C281" s="8"/>
      <c r="D281" s="29"/>
      <c r="E281" s="29"/>
      <c r="F281" s="29"/>
      <c r="G281" s="30"/>
      <c r="H281" s="30"/>
      <c r="I281" s="31"/>
      <c r="J281" s="31"/>
      <c r="K281" s="31"/>
      <c r="L281" s="31"/>
    </row>
    <row r="282" spans="2:12" ht="15.75">
      <c r="B282" s="19"/>
      <c r="C282" s="8"/>
      <c r="D282" s="29"/>
      <c r="E282" s="29"/>
      <c r="F282" s="29"/>
      <c r="G282" s="30"/>
      <c r="H282" s="30"/>
      <c r="I282" s="31"/>
      <c r="J282" s="31"/>
      <c r="K282" s="31"/>
      <c r="L282" s="31"/>
    </row>
    <row r="283" spans="2:12" ht="15.75">
      <c r="B283" s="19"/>
      <c r="C283" s="8"/>
      <c r="D283" s="29"/>
      <c r="E283" s="29"/>
      <c r="F283" s="29"/>
      <c r="G283" s="30"/>
      <c r="H283" s="30"/>
      <c r="I283" s="31"/>
      <c r="J283" s="31"/>
      <c r="K283" s="31"/>
      <c r="L283" s="31"/>
    </row>
    <row r="284" spans="2:12" ht="15.75">
      <c r="B284" s="19"/>
      <c r="C284" s="8"/>
      <c r="D284" s="29"/>
      <c r="E284" s="29"/>
      <c r="F284" s="29"/>
      <c r="G284" s="30"/>
      <c r="H284" s="30"/>
      <c r="I284" s="31"/>
      <c r="J284" s="31"/>
      <c r="K284" s="31"/>
      <c r="L284" s="31"/>
    </row>
    <row r="285" spans="2:12" ht="15.75">
      <c r="B285" s="19"/>
      <c r="C285" s="8"/>
      <c r="D285" s="29"/>
      <c r="E285" s="29"/>
      <c r="F285" s="29"/>
      <c r="G285" s="30"/>
      <c r="H285" s="30"/>
      <c r="I285" s="31"/>
      <c r="J285" s="31"/>
      <c r="K285" s="31"/>
      <c r="L285" s="31"/>
    </row>
    <row r="286" spans="2:12" ht="15.75">
      <c r="B286" s="19"/>
      <c r="C286" s="8"/>
      <c r="D286" s="5"/>
      <c r="E286" s="5"/>
      <c r="F286" s="5"/>
      <c r="G286" s="6"/>
      <c r="H286" s="6"/>
      <c r="I286" s="7"/>
      <c r="J286" s="7"/>
      <c r="K286" s="7"/>
      <c r="L286" s="7"/>
    </row>
    <row r="287" spans="2:12" ht="15.75">
      <c r="B287" s="19"/>
      <c r="C287" s="8"/>
      <c r="D287" s="5"/>
      <c r="E287" s="5"/>
      <c r="F287" s="5"/>
      <c r="G287" s="6"/>
      <c r="H287" s="6"/>
      <c r="I287" s="7"/>
      <c r="J287" s="7"/>
      <c r="K287" s="7"/>
      <c r="L287" s="7"/>
    </row>
    <row r="288" spans="2:12" ht="15.75">
      <c r="B288" s="19"/>
      <c r="C288" s="8"/>
      <c r="D288" s="5"/>
      <c r="E288" s="5"/>
      <c r="F288" s="5"/>
      <c r="G288" s="6"/>
      <c r="H288" s="6"/>
      <c r="I288" s="7"/>
      <c r="J288" s="7"/>
      <c r="K288" s="7"/>
      <c r="L288" s="7"/>
    </row>
    <row r="289" spans="2:12" ht="15.75">
      <c r="B289" s="19"/>
      <c r="C289" s="8"/>
      <c r="D289" s="5"/>
      <c r="E289" s="5"/>
      <c r="F289" s="5"/>
      <c r="G289" s="6"/>
      <c r="H289" s="6"/>
      <c r="I289" s="7"/>
      <c r="J289" s="7"/>
      <c r="K289" s="7"/>
      <c r="L289" s="7"/>
    </row>
    <row r="290" spans="2:12" ht="15.75">
      <c r="B290" s="19"/>
      <c r="C290" s="8"/>
      <c r="D290" s="5"/>
      <c r="E290" s="5"/>
      <c r="F290" s="5"/>
      <c r="G290" s="6"/>
      <c r="H290" s="6"/>
      <c r="I290" s="7"/>
      <c r="J290" s="7"/>
      <c r="K290" s="7"/>
      <c r="L290" s="7"/>
    </row>
    <row r="291" spans="2:12" ht="15.75">
      <c r="B291" s="19"/>
      <c r="C291" s="8"/>
      <c r="D291" s="5"/>
      <c r="E291" s="5"/>
      <c r="F291" s="5"/>
      <c r="G291" s="6"/>
      <c r="H291" s="6"/>
      <c r="I291" s="7"/>
      <c r="J291" s="7"/>
      <c r="K291" s="7"/>
      <c r="L291" s="7"/>
    </row>
    <row r="292" spans="2:12" ht="15.75">
      <c r="B292" s="19"/>
      <c r="C292" s="8"/>
      <c r="D292" s="5"/>
      <c r="E292" s="5"/>
      <c r="F292" s="5"/>
      <c r="G292" s="6"/>
      <c r="H292" s="6"/>
      <c r="I292" s="7"/>
      <c r="J292" s="7"/>
      <c r="K292" s="7"/>
      <c r="L292" s="7"/>
    </row>
    <row r="293" spans="2:12" ht="15.75">
      <c r="B293" s="19"/>
      <c r="C293" s="8"/>
      <c r="D293" s="5"/>
      <c r="E293" s="5"/>
      <c r="F293" s="5"/>
      <c r="G293" s="6"/>
      <c r="H293" s="6"/>
      <c r="I293" s="7"/>
      <c r="J293" s="7"/>
      <c r="K293" s="7"/>
      <c r="L293" s="7"/>
    </row>
    <row r="294" spans="2:12" ht="15.75">
      <c r="B294" s="19"/>
      <c r="C294" s="8"/>
      <c r="D294" s="5"/>
      <c r="E294" s="5"/>
      <c r="F294" s="5"/>
      <c r="G294" s="6"/>
      <c r="H294" s="6"/>
      <c r="I294" s="7"/>
      <c r="J294" s="7"/>
      <c r="K294" s="7"/>
      <c r="L294" s="7"/>
    </row>
    <row r="295" spans="2:12" ht="15.75">
      <c r="B295" s="19"/>
      <c r="C295" s="8"/>
      <c r="D295" s="5"/>
      <c r="E295" s="5"/>
      <c r="F295" s="5"/>
      <c r="G295" s="6"/>
      <c r="H295" s="6"/>
      <c r="I295" s="7"/>
      <c r="J295" s="7"/>
      <c r="K295" s="7"/>
      <c r="L295" s="7"/>
    </row>
    <row r="296" spans="2:12" ht="15.75">
      <c r="B296" s="19"/>
      <c r="C296" s="8"/>
      <c r="D296" s="5"/>
      <c r="E296" s="5"/>
      <c r="F296" s="5"/>
      <c r="G296" s="6"/>
      <c r="H296" s="6"/>
      <c r="I296" s="7"/>
      <c r="J296" s="7"/>
      <c r="K296" s="7"/>
      <c r="L296" s="7"/>
    </row>
    <row r="297" spans="2:12" ht="15.75">
      <c r="B297" s="19"/>
      <c r="C297" s="8"/>
      <c r="D297" s="5"/>
      <c r="E297" s="5"/>
      <c r="F297" s="5"/>
      <c r="G297" s="6"/>
      <c r="H297" s="6"/>
      <c r="I297" s="7"/>
      <c r="J297" s="7"/>
      <c r="K297" s="7"/>
      <c r="L297" s="7"/>
    </row>
    <row r="298" spans="2:12" ht="15.75">
      <c r="B298" s="19"/>
      <c r="C298" s="8"/>
      <c r="D298" s="5"/>
      <c r="E298" s="5"/>
      <c r="F298" s="5"/>
      <c r="G298" s="6"/>
      <c r="H298" s="6"/>
      <c r="I298" s="7"/>
      <c r="J298" s="7"/>
      <c r="K298" s="7"/>
      <c r="L298" s="7"/>
    </row>
    <row r="299" spans="2:12" ht="15.75">
      <c r="B299" s="19"/>
      <c r="C299" s="8"/>
      <c r="D299" s="5"/>
      <c r="E299" s="5"/>
      <c r="F299" s="5"/>
      <c r="G299" s="6"/>
      <c r="H299" s="6"/>
      <c r="I299" s="7"/>
      <c r="J299" s="7"/>
      <c r="K299" s="7"/>
      <c r="L299" s="7"/>
    </row>
    <row r="300" spans="2:12" ht="15.75">
      <c r="B300" s="19"/>
      <c r="C300" s="8"/>
      <c r="D300" s="5"/>
      <c r="E300" s="5"/>
      <c r="F300" s="5"/>
      <c r="G300" s="6"/>
      <c r="H300" s="6"/>
      <c r="I300" s="7"/>
      <c r="J300" s="7"/>
      <c r="K300" s="7"/>
      <c r="L300" s="7"/>
    </row>
    <row r="301" spans="2:12" ht="15.75">
      <c r="B301" s="19"/>
      <c r="C301" s="8"/>
      <c r="D301" s="5"/>
      <c r="E301" s="5"/>
      <c r="F301" s="5"/>
      <c r="G301" s="6"/>
      <c r="H301" s="6"/>
      <c r="I301" s="7"/>
      <c r="J301" s="7"/>
      <c r="K301" s="7"/>
      <c r="L301" s="7"/>
    </row>
    <row r="302" spans="2:12" ht="15.75">
      <c r="B302" s="19"/>
      <c r="C302" s="8"/>
      <c r="D302" s="5"/>
      <c r="E302" s="5"/>
      <c r="F302" s="5"/>
      <c r="G302" s="6"/>
      <c r="H302" s="6"/>
      <c r="I302" s="7"/>
      <c r="J302" s="7"/>
      <c r="K302" s="7"/>
      <c r="L302" s="7"/>
    </row>
    <row r="303" spans="2:12" ht="15.75">
      <c r="B303" s="19"/>
      <c r="C303" s="8"/>
      <c r="D303" s="5"/>
      <c r="E303" s="5"/>
      <c r="F303" s="5"/>
      <c r="G303" s="6"/>
      <c r="H303" s="6"/>
      <c r="I303" s="7"/>
      <c r="J303" s="7"/>
      <c r="K303" s="7"/>
      <c r="L303" s="7"/>
    </row>
    <row r="304" spans="2:12" ht="15.75">
      <c r="B304" s="19"/>
      <c r="C304" s="8"/>
      <c r="D304" s="5"/>
      <c r="E304" s="5"/>
      <c r="F304" s="5"/>
      <c r="G304" s="6"/>
      <c r="H304" s="6"/>
      <c r="I304" s="7"/>
      <c r="J304" s="7"/>
      <c r="K304" s="7"/>
      <c r="L304" s="7"/>
    </row>
    <row r="305" spans="2:12" ht="15.75">
      <c r="B305" s="19"/>
      <c r="C305" s="8"/>
      <c r="D305" s="5"/>
      <c r="E305" s="5"/>
      <c r="F305" s="5"/>
      <c r="G305" s="6"/>
      <c r="H305" s="6"/>
      <c r="I305" s="7"/>
      <c r="J305" s="7"/>
      <c r="K305" s="7"/>
      <c r="L305" s="7"/>
    </row>
    <row r="306" spans="2:12" ht="15.75">
      <c r="B306" s="19"/>
      <c r="C306" s="8"/>
      <c r="D306" s="5"/>
      <c r="E306" s="5"/>
      <c r="F306" s="5"/>
      <c r="G306" s="6"/>
      <c r="H306" s="6"/>
      <c r="I306" s="7"/>
      <c r="J306" s="7"/>
      <c r="K306" s="7"/>
      <c r="L306" s="7"/>
    </row>
    <row r="307" spans="2:12" ht="15.75">
      <c r="B307" s="19"/>
      <c r="C307" s="8"/>
      <c r="D307" s="5"/>
      <c r="E307" s="5"/>
      <c r="F307" s="5"/>
      <c r="G307" s="6"/>
      <c r="H307" s="6"/>
      <c r="I307" s="7"/>
      <c r="J307" s="7"/>
      <c r="K307" s="7"/>
      <c r="L307" s="7"/>
    </row>
    <row r="308" spans="2:12" ht="15.75">
      <c r="B308" s="19"/>
      <c r="C308" s="8"/>
      <c r="D308" s="5"/>
      <c r="E308" s="5"/>
      <c r="F308" s="5"/>
      <c r="G308" s="6"/>
      <c r="H308" s="6"/>
      <c r="I308" s="7"/>
      <c r="J308" s="7"/>
      <c r="K308" s="7"/>
      <c r="L308" s="7"/>
    </row>
    <row r="309" spans="2:12" ht="15.75">
      <c r="B309" s="19"/>
      <c r="C309" s="8"/>
      <c r="D309" s="5"/>
      <c r="E309" s="5"/>
      <c r="F309" s="5"/>
      <c r="G309" s="6"/>
      <c r="H309" s="6"/>
      <c r="I309" s="7"/>
      <c r="J309" s="7"/>
      <c r="K309" s="7"/>
      <c r="L309" s="7"/>
    </row>
    <row r="310" spans="2:12" ht="15.75">
      <c r="B310" s="19"/>
      <c r="C310" s="8"/>
      <c r="D310" s="5"/>
      <c r="E310" s="5"/>
      <c r="F310" s="5"/>
      <c r="G310" s="6"/>
      <c r="H310" s="6"/>
      <c r="I310" s="7"/>
      <c r="J310" s="7"/>
      <c r="K310" s="7"/>
      <c r="L310" s="7"/>
    </row>
    <row r="311" spans="2:12" ht="15.75">
      <c r="B311" s="19"/>
      <c r="C311" s="8"/>
      <c r="D311" s="5"/>
      <c r="E311" s="5"/>
      <c r="F311" s="5"/>
      <c r="G311" s="6"/>
      <c r="H311" s="6"/>
      <c r="I311" s="7"/>
      <c r="J311" s="7"/>
      <c r="K311" s="7"/>
      <c r="L311" s="7"/>
    </row>
    <row r="312" spans="2:12" ht="15.75">
      <c r="B312" s="19"/>
      <c r="C312" s="8"/>
      <c r="D312" s="5"/>
      <c r="E312" s="5"/>
      <c r="F312" s="5"/>
      <c r="G312" s="6"/>
      <c r="H312" s="6"/>
      <c r="I312" s="7"/>
      <c r="J312" s="7"/>
      <c r="K312" s="7"/>
      <c r="L312" s="7"/>
    </row>
    <row r="313" spans="2:12" ht="15.75">
      <c r="B313" s="19"/>
      <c r="C313" s="8"/>
      <c r="D313" s="5"/>
      <c r="E313" s="5"/>
      <c r="F313" s="5"/>
      <c r="G313" s="6"/>
      <c r="H313" s="6"/>
      <c r="I313" s="7"/>
      <c r="J313" s="7"/>
      <c r="K313" s="7"/>
      <c r="L313" s="7"/>
    </row>
    <row r="314" spans="2:12" ht="15.75">
      <c r="B314" s="19"/>
      <c r="C314" s="8"/>
      <c r="D314" s="5"/>
      <c r="E314" s="5"/>
      <c r="F314" s="5"/>
      <c r="G314" s="6"/>
      <c r="H314" s="6"/>
      <c r="I314" s="7"/>
      <c r="J314" s="7"/>
      <c r="K314" s="7"/>
      <c r="L314" s="7"/>
    </row>
    <row r="315" spans="2:12" ht="15.75">
      <c r="B315" s="19"/>
      <c r="C315" s="8"/>
      <c r="D315" s="5"/>
      <c r="E315" s="5"/>
      <c r="F315" s="5"/>
      <c r="G315" s="6"/>
      <c r="H315" s="6"/>
      <c r="I315" s="7"/>
      <c r="J315" s="7"/>
      <c r="K315" s="7"/>
      <c r="L315" s="7"/>
    </row>
    <row r="316" spans="2:12" ht="15.75">
      <c r="B316" s="19"/>
      <c r="C316" s="8"/>
      <c r="D316" s="5"/>
      <c r="E316" s="5"/>
      <c r="F316" s="5"/>
      <c r="G316" s="6"/>
      <c r="H316" s="6"/>
      <c r="I316" s="7"/>
      <c r="J316" s="7"/>
      <c r="K316" s="7"/>
      <c r="L316" s="7"/>
    </row>
    <row r="317" spans="2:12" ht="15.75">
      <c r="B317" s="19"/>
      <c r="C317" s="8"/>
      <c r="D317" s="5"/>
      <c r="E317" s="5"/>
      <c r="F317" s="5"/>
      <c r="G317" s="6"/>
      <c r="H317" s="6"/>
      <c r="I317" s="7"/>
      <c r="J317" s="7"/>
      <c r="K317" s="7"/>
      <c r="L317" s="7"/>
    </row>
    <row r="318" spans="2:12" ht="15.75">
      <c r="B318" s="19"/>
      <c r="C318" s="8"/>
      <c r="D318" s="5"/>
      <c r="E318" s="5"/>
      <c r="F318" s="5"/>
      <c r="G318" s="6"/>
      <c r="H318" s="6"/>
      <c r="I318" s="7"/>
      <c r="J318" s="7"/>
      <c r="K318" s="7"/>
      <c r="L318" s="7"/>
    </row>
    <row r="319" spans="2:12" ht="15.75">
      <c r="B319" s="19"/>
      <c r="C319" s="8"/>
      <c r="D319" s="5"/>
      <c r="E319" s="5"/>
      <c r="F319" s="5"/>
      <c r="G319" s="6"/>
      <c r="H319" s="6"/>
      <c r="I319" s="7"/>
      <c r="J319" s="7"/>
      <c r="K319" s="7"/>
      <c r="L319" s="7"/>
    </row>
    <row r="320" spans="2:12" ht="15.75">
      <c r="B320" s="19"/>
      <c r="C320" s="8"/>
      <c r="D320" s="5"/>
      <c r="E320" s="5"/>
      <c r="F320" s="5"/>
      <c r="G320" s="6"/>
      <c r="H320" s="6"/>
      <c r="I320" s="7"/>
      <c r="J320" s="7"/>
      <c r="K320" s="7"/>
      <c r="L320" s="7"/>
    </row>
    <row r="321" spans="2:12" ht="15.75">
      <c r="B321" s="19"/>
      <c r="C321" s="8"/>
      <c r="D321" s="5"/>
      <c r="E321" s="5"/>
      <c r="F321" s="5"/>
      <c r="G321" s="6"/>
      <c r="H321" s="6"/>
      <c r="I321" s="7"/>
      <c r="J321" s="7"/>
      <c r="K321" s="7"/>
      <c r="L321" s="7"/>
    </row>
    <row r="322" spans="2:12" ht="15.75">
      <c r="B322" s="19"/>
      <c r="C322" s="8"/>
      <c r="D322" s="5"/>
      <c r="E322" s="5"/>
      <c r="F322" s="5"/>
      <c r="G322" s="6"/>
      <c r="H322" s="6"/>
      <c r="I322" s="7"/>
      <c r="J322" s="7"/>
      <c r="K322" s="7"/>
      <c r="L322" s="7"/>
    </row>
    <row r="323" spans="2:12" ht="15.75">
      <c r="B323" s="19"/>
      <c r="C323" s="8"/>
      <c r="D323" s="5"/>
      <c r="E323" s="5"/>
      <c r="F323" s="5"/>
      <c r="G323" s="6"/>
      <c r="H323" s="6"/>
      <c r="I323" s="7"/>
      <c r="J323" s="7"/>
      <c r="K323" s="7"/>
      <c r="L323" s="7"/>
    </row>
    <row r="324" spans="2:12" ht="15.75">
      <c r="B324" s="19"/>
      <c r="C324" s="8"/>
      <c r="D324" s="5"/>
      <c r="E324" s="5"/>
      <c r="F324" s="5"/>
      <c r="G324" s="6"/>
      <c r="H324" s="6"/>
      <c r="I324" s="7"/>
      <c r="J324" s="7"/>
      <c r="K324" s="7"/>
      <c r="L324" s="7"/>
    </row>
    <row r="325" spans="2:12" ht="15.75">
      <c r="B325" s="19"/>
      <c r="C325" s="8"/>
      <c r="D325" s="5"/>
      <c r="E325" s="5"/>
      <c r="F325" s="5"/>
      <c r="G325" s="6"/>
      <c r="H325" s="6"/>
      <c r="I325" s="7"/>
      <c r="J325" s="7"/>
      <c r="K325" s="7"/>
      <c r="L325" s="7"/>
    </row>
    <row r="326" spans="2:12" ht="15.75">
      <c r="B326" s="19"/>
      <c r="C326" s="8"/>
      <c r="D326" s="5"/>
      <c r="E326" s="5"/>
      <c r="F326" s="5"/>
      <c r="G326" s="6"/>
      <c r="H326" s="6"/>
      <c r="I326" s="7"/>
      <c r="J326" s="7"/>
      <c r="K326" s="7"/>
      <c r="L326" s="7"/>
    </row>
    <row r="327" spans="2:12" ht="15.75">
      <c r="B327" s="19"/>
      <c r="C327" s="8"/>
      <c r="D327" s="5"/>
      <c r="E327" s="5"/>
      <c r="F327" s="5"/>
      <c r="G327" s="6"/>
      <c r="H327" s="6"/>
      <c r="I327" s="7"/>
      <c r="J327" s="7"/>
      <c r="K327" s="7"/>
      <c r="L327" s="7"/>
    </row>
    <row r="328" spans="2:12" ht="15.75">
      <c r="B328" s="19"/>
      <c r="C328" s="8"/>
      <c r="D328" s="5"/>
      <c r="E328" s="5"/>
      <c r="F328" s="5"/>
      <c r="G328" s="6"/>
      <c r="H328" s="6"/>
      <c r="I328" s="7"/>
      <c r="J328" s="7"/>
      <c r="K328" s="7"/>
      <c r="L328" s="7"/>
    </row>
    <row r="329" spans="2:12" ht="15.75">
      <c r="B329" s="19"/>
      <c r="C329" s="8"/>
      <c r="D329" s="5"/>
      <c r="E329" s="5"/>
      <c r="F329" s="5"/>
      <c r="G329" s="6"/>
      <c r="H329" s="6"/>
      <c r="I329" s="7"/>
      <c r="J329" s="7"/>
      <c r="K329" s="7"/>
      <c r="L329" s="7"/>
    </row>
    <row r="330" spans="2:12" ht="15.75">
      <c r="B330" s="19"/>
      <c r="C330" s="8"/>
      <c r="D330" s="5"/>
      <c r="E330" s="5"/>
      <c r="F330" s="5"/>
      <c r="G330" s="6"/>
      <c r="H330" s="6"/>
      <c r="I330" s="7"/>
      <c r="J330" s="7"/>
      <c r="K330" s="7"/>
      <c r="L330" s="7"/>
    </row>
    <row r="331" spans="2:12" ht="15.75">
      <c r="B331" s="19"/>
      <c r="C331" s="8"/>
      <c r="D331" s="5"/>
      <c r="E331" s="5"/>
      <c r="F331" s="5"/>
      <c r="G331" s="6"/>
      <c r="H331" s="6"/>
      <c r="I331" s="7"/>
      <c r="J331" s="7"/>
      <c r="K331" s="7"/>
      <c r="L331" s="7"/>
    </row>
    <row r="332" spans="2:12" ht="15.75">
      <c r="B332" s="19"/>
      <c r="C332" s="8"/>
      <c r="D332" s="5"/>
      <c r="E332" s="5"/>
      <c r="F332" s="5"/>
      <c r="G332" s="6"/>
      <c r="H332" s="6"/>
      <c r="I332" s="7"/>
      <c r="J332" s="7"/>
      <c r="K332" s="7"/>
      <c r="L332" s="7"/>
    </row>
    <row r="333" spans="2:12" ht="15.75">
      <c r="B333" s="19"/>
      <c r="C333" s="8"/>
      <c r="D333" s="5"/>
      <c r="E333" s="5"/>
      <c r="F333" s="5"/>
      <c r="G333" s="6"/>
      <c r="H333" s="6"/>
      <c r="I333" s="7"/>
      <c r="J333" s="7"/>
      <c r="K333" s="7"/>
      <c r="L333" s="7"/>
    </row>
    <row r="334" spans="2:12" ht="15.75">
      <c r="B334" s="19"/>
      <c r="C334" s="8"/>
      <c r="D334" s="5"/>
      <c r="E334" s="5"/>
      <c r="F334" s="5"/>
      <c r="G334" s="6"/>
      <c r="H334" s="6"/>
      <c r="I334" s="7"/>
      <c r="J334" s="7"/>
      <c r="K334" s="7"/>
      <c r="L334" s="7"/>
    </row>
    <row r="335" spans="2:12" ht="15.75">
      <c r="B335" s="19"/>
      <c r="C335" s="8"/>
      <c r="D335" s="5"/>
      <c r="E335" s="5"/>
      <c r="F335" s="5"/>
      <c r="G335" s="6"/>
      <c r="H335" s="6"/>
      <c r="I335" s="7"/>
      <c r="J335" s="7"/>
      <c r="K335" s="7"/>
      <c r="L335" s="7"/>
    </row>
    <row r="336" spans="2:12" ht="15.75">
      <c r="B336" s="19"/>
      <c r="C336" s="8"/>
      <c r="D336" s="5"/>
      <c r="E336" s="5"/>
      <c r="F336" s="5"/>
      <c r="G336" s="6"/>
      <c r="H336" s="6"/>
      <c r="I336" s="7"/>
      <c r="J336" s="7"/>
      <c r="K336" s="7"/>
      <c r="L336" s="7"/>
    </row>
    <row r="337" spans="2:12" ht="15.75">
      <c r="B337" s="19"/>
      <c r="C337" s="8"/>
      <c r="D337" s="5"/>
      <c r="E337" s="5"/>
      <c r="F337" s="5"/>
      <c r="G337" s="6"/>
      <c r="H337" s="6"/>
      <c r="I337" s="7"/>
      <c r="J337" s="7"/>
      <c r="K337" s="7"/>
      <c r="L337" s="7"/>
    </row>
    <row r="338" spans="2:12" ht="15.75">
      <c r="B338" s="19"/>
      <c r="C338" s="8"/>
      <c r="D338" s="5"/>
      <c r="E338" s="5"/>
      <c r="F338" s="5"/>
      <c r="G338" s="6"/>
      <c r="H338" s="6"/>
      <c r="I338" s="7"/>
      <c r="J338" s="7"/>
      <c r="K338" s="7"/>
      <c r="L338" s="7"/>
    </row>
    <row r="339" spans="2:12" ht="15.75">
      <c r="B339" s="19"/>
      <c r="C339" s="8"/>
      <c r="D339" s="5"/>
      <c r="E339" s="5"/>
      <c r="F339" s="5"/>
      <c r="G339" s="6"/>
      <c r="H339" s="6"/>
      <c r="I339" s="7"/>
      <c r="J339" s="7"/>
      <c r="K339" s="7"/>
      <c r="L339" s="7"/>
    </row>
    <row r="340" spans="2:12" ht="15.75">
      <c r="B340" s="19"/>
      <c r="C340" s="8"/>
      <c r="D340" s="5"/>
      <c r="E340" s="5"/>
      <c r="F340" s="5"/>
      <c r="G340" s="6"/>
      <c r="H340" s="6"/>
      <c r="I340" s="7"/>
      <c r="J340" s="7"/>
      <c r="K340" s="7"/>
      <c r="L340" s="7"/>
    </row>
    <row r="341" spans="2:12" ht="15.75">
      <c r="B341" s="19"/>
      <c r="C341" s="8"/>
      <c r="D341" s="5"/>
      <c r="E341" s="5"/>
      <c r="F341" s="5"/>
      <c r="G341" s="6"/>
      <c r="H341" s="6"/>
      <c r="I341" s="7"/>
      <c r="J341" s="7"/>
      <c r="K341" s="7"/>
      <c r="L341" s="7"/>
    </row>
    <row r="342" spans="2:12" ht="15.75">
      <c r="B342" s="19"/>
      <c r="C342" s="8"/>
      <c r="D342" s="5"/>
      <c r="E342" s="5"/>
      <c r="F342" s="5"/>
      <c r="G342" s="6"/>
      <c r="H342" s="6"/>
      <c r="I342" s="7"/>
      <c r="J342" s="7"/>
      <c r="K342" s="7"/>
      <c r="L342" s="7"/>
    </row>
    <row r="343" spans="2:12" ht="15.75">
      <c r="B343" s="19"/>
      <c r="C343" s="8"/>
      <c r="D343" s="5"/>
      <c r="E343" s="5"/>
      <c r="F343" s="5"/>
      <c r="G343" s="6"/>
      <c r="H343" s="6"/>
      <c r="I343" s="7"/>
      <c r="J343" s="7"/>
      <c r="K343" s="7"/>
      <c r="L343" s="7"/>
    </row>
    <row r="344" spans="2:12" ht="15.75">
      <c r="B344" s="19"/>
      <c r="C344" s="8"/>
      <c r="D344" s="5"/>
      <c r="E344" s="5"/>
      <c r="F344" s="5"/>
      <c r="G344" s="6"/>
      <c r="H344" s="6"/>
      <c r="I344" s="7"/>
      <c r="J344" s="7"/>
      <c r="K344" s="7"/>
      <c r="L344" s="7"/>
    </row>
    <row r="345" spans="2:12" ht="15.75">
      <c r="B345" s="19"/>
      <c r="C345" s="8"/>
      <c r="D345" s="5"/>
      <c r="E345" s="5"/>
      <c r="F345" s="5"/>
      <c r="G345" s="6"/>
      <c r="H345" s="6"/>
      <c r="I345" s="7"/>
      <c r="J345" s="7"/>
      <c r="K345" s="7"/>
      <c r="L345" s="7"/>
    </row>
    <row r="346" spans="2:12" ht="15.75">
      <c r="B346" s="19"/>
      <c r="C346" s="8"/>
      <c r="D346" s="5"/>
      <c r="E346" s="5"/>
      <c r="F346" s="5"/>
      <c r="G346" s="6"/>
      <c r="H346" s="6"/>
      <c r="I346" s="7"/>
      <c r="J346" s="7"/>
      <c r="K346" s="7"/>
      <c r="L346" s="7"/>
    </row>
    <row r="347" spans="2:12" ht="15.75">
      <c r="B347" s="19"/>
      <c r="C347" s="8"/>
      <c r="D347" s="5"/>
      <c r="E347" s="5"/>
      <c r="F347" s="5"/>
      <c r="G347" s="6"/>
      <c r="H347" s="6"/>
      <c r="I347" s="7"/>
      <c r="J347" s="7"/>
      <c r="K347" s="7"/>
      <c r="L347" s="7"/>
    </row>
    <row r="348" spans="2:12" ht="15.75">
      <c r="B348" s="19"/>
      <c r="C348" s="8"/>
      <c r="D348" s="5"/>
      <c r="E348" s="5"/>
      <c r="F348" s="5"/>
      <c r="G348" s="6"/>
      <c r="H348" s="6"/>
      <c r="I348" s="7"/>
      <c r="J348" s="7"/>
      <c r="K348" s="7"/>
      <c r="L348" s="7"/>
    </row>
    <row r="349" spans="2:12" ht="15.75">
      <c r="B349" s="19"/>
      <c r="C349" s="8"/>
      <c r="D349" s="5"/>
      <c r="E349" s="5"/>
      <c r="F349" s="5"/>
      <c r="G349" s="6"/>
      <c r="H349" s="6"/>
      <c r="I349" s="7"/>
      <c r="J349" s="7"/>
      <c r="K349" s="7"/>
      <c r="L349" s="7"/>
    </row>
    <row r="350" spans="2:12" ht="15.75">
      <c r="B350" s="19"/>
      <c r="C350" s="8"/>
      <c r="D350" s="5"/>
      <c r="E350" s="5"/>
      <c r="F350" s="5"/>
      <c r="G350" s="6"/>
      <c r="H350" s="6"/>
      <c r="I350" s="7"/>
      <c r="J350" s="7"/>
      <c r="K350" s="7"/>
      <c r="L350" s="7"/>
    </row>
    <row r="351" spans="2:12" ht="15.75">
      <c r="B351" s="19"/>
      <c r="C351" s="8"/>
      <c r="D351" s="5"/>
      <c r="E351" s="5"/>
      <c r="F351" s="5"/>
      <c r="G351" s="6"/>
      <c r="H351" s="6"/>
      <c r="I351" s="7"/>
      <c r="J351" s="7"/>
      <c r="K351" s="7"/>
      <c r="L351" s="7"/>
    </row>
    <row r="352" spans="2:12" ht="15.75">
      <c r="B352" s="19"/>
      <c r="C352" s="8"/>
      <c r="D352" s="5"/>
      <c r="E352" s="5"/>
      <c r="F352" s="5"/>
      <c r="G352" s="6"/>
      <c r="H352" s="6"/>
      <c r="I352" s="7"/>
      <c r="J352" s="7"/>
      <c r="K352" s="7"/>
      <c r="L352" s="7"/>
    </row>
    <row r="353" spans="2:12" ht="15.75">
      <c r="B353" s="19"/>
      <c r="C353" s="8"/>
      <c r="D353" s="5"/>
      <c r="E353" s="5"/>
      <c r="F353" s="5"/>
      <c r="G353" s="6"/>
      <c r="H353" s="6"/>
      <c r="I353" s="7"/>
      <c r="J353" s="7"/>
      <c r="K353" s="7"/>
      <c r="L353" s="7"/>
    </row>
    <row r="354" spans="2:12" ht="15.75">
      <c r="B354" s="19"/>
      <c r="C354" s="8"/>
      <c r="D354" s="5"/>
      <c r="E354" s="5"/>
      <c r="F354" s="5"/>
      <c r="G354" s="6"/>
      <c r="H354" s="6"/>
      <c r="I354" s="7"/>
      <c r="J354" s="7"/>
      <c r="K354" s="7"/>
      <c r="L354" s="7"/>
    </row>
    <row r="355" spans="2:12" ht="15.75">
      <c r="B355" s="19"/>
      <c r="C355" s="8"/>
      <c r="D355" s="5"/>
      <c r="E355" s="5"/>
      <c r="F355" s="5"/>
      <c r="G355" s="6"/>
      <c r="H355" s="6"/>
      <c r="I355" s="7"/>
      <c r="J355" s="7"/>
      <c r="K355" s="7"/>
      <c r="L355" s="7"/>
    </row>
    <row r="356" spans="2:12" ht="15.75">
      <c r="B356" s="19"/>
      <c r="C356" s="8"/>
      <c r="D356" s="5"/>
      <c r="E356" s="5"/>
      <c r="F356" s="5"/>
      <c r="G356" s="6"/>
      <c r="H356" s="6"/>
      <c r="I356" s="7"/>
      <c r="J356" s="7"/>
      <c r="K356" s="7"/>
      <c r="L356" s="7"/>
    </row>
    <row r="357" spans="2:12" ht="15.75">
      <c r="B357" s="19"/>
      <c r="C357" s="8"/>
      <c r="D357" s="5"/>
      <c r="E357" s="5"/>
      <c r="F357" s="5"/>
      <c r="G357" s="6"/>
      <c r="H357" s="6"/>
      <c r="I357" s="7"/>
      <c r="J357" s="7"/>
      <c r="K357" s="7"/>
      <c r="L357" s="7"/>
    </row>
    <row r="358" spans="2:12" ht="15.75">
      <c r="B358" s="19"/>
      <c r="C358" s="8"/>
      <c r="D358" s="5"/>
      <c r="E358" s="5"/>
      <c r="F358" s="5"/>
      <c r="G358" s="6"/>
      <c r="H358" s="6"/>
      <c r="I358" s="7"/>
      <c r="J358" s="7"/>
      <c r="K358" s="7"/>
      <c r="L358" s="7"/>
    </row>
    <row r="359" spans="2:12" ht="15.75">
      <c r="B359" s="19"/>
      <c r="C359" s="8"/>
      <c r="D359" s="5"/>
      <c r="E359" s="5"/>
      <c r="F359" s="5"/>
      <c r="G359" s="6"/>
      <c r="H359" s="6"/>
      <c r="I359" s="7"/>
      <c r="J359" s="7"/>
      <c r="K359" s="7"/>
      <c r="L359" s="7"/>
    </row>
    <row r="360" spans="2:12" ht="15.75">
      <c r="B360" s="19"/>
      <c r="C360" s="8"/>
      <c r="D360" s="5"/>
      <c r="E360" s="5"/>
      <c r="F360" s="5"/>
      <c r="G360" s="6"/>
      <c r="H360" s="6"/>
      <c r="I360" s="7"/>
      <c r="J360" s="7"/>
      <c r="K360" s="7"/>
      <c r="L360" s="7"/>
    </row>
    <row r="361" spans="2:12" ht="15.75">
      <c r="B361" s="19"/>
      <c r="C361" s="8"/>
      <c r="D361" s="5"/>
      <c r="E361" s="5"/>
      <c r="F361" s="5"/>
      <c r="G361" s="6"/>
      <c r="H361" s="6"/>
      <c r="I361" s="7"/>
      <c r="J361" s="7"/>
      <c r="K361" s="7"/>
      <c r="L361" s="7"/>
    </row>
    <row r="362" spans="2:12" ht="15.75">
      <c r="B362" s="19"/>
      <c r="C362" s="8"/>
      <c r="D362" s="5"/>
      <c r="E362" s="5"/>
      <c r="F362" s="5"/>
      <c r="G362" s="6"/>
      <c r="H362" s="6"/>
      <c r="I362" s="7"/>
      <c r="J362" s="7"/>
      <c r="K362" s="7"/>
      <c r="L362" s="7"/>
    </row>
    <row r="363" spans="2:12" ht="15.75">
      <c r="B363" s="19"/>
      <c r="C363" s="8"/>
      <c r="D363" s="5"/>
      <c r="E363" s="5"/>
      <c r="F363" s="5"/>
      <c r="G363" s="6"/>
      <c r="H363" s="6"/>
      <c r="I363" s="7"/>
      <c r="J363" s="7"/>
      <c r="K363" s="7"/>
      <c r="L363" s="7"/>
    </row>
    <row r="364" spans="2:12" ht="15.75">
      <c r="B364" s="19"/>
      <c r="C364" s="8"/>
      <c r="D364" s="5"/>
      <c r="E364" s="5"/>
      <c r="F364" s="5"/>
      <c r="G364" s="6"/>
      <c r="H364" s="6"/>
      <c r="I364" s="7"/>
      <c r="J364" s="7"/>
      <c r="K364" s="7"/>
      <c r="L364" s="7"/>
    </row>
    <row r="365" spans="2:12" ht="15.75">
      <c r="B365" s="19"/>
      <c r="C365" s="8"/>
      <c r="D365" s="5"/>
      <c r="E365" s="5"/>
      <c r="F365" s="5"/>
      <c r="G365" s="6"/>
      <c r="H365" s="6"/>
      <c r="I365" s="7"/>
      <c r="J365" s="7"/>
      <c r="K365" s="7"/>
      <c r="L365" s="7"/>
    </row>
    <row r="366" spans="2:12" ht="15.75">
      <c r="B366" s="19"/>
      <c r="C366" s="8"/>
      <c r="D366" s="5"/>
      <c r="E366" s="5"/>
      <c r="F366" s="5"/>
      <c r="G366" s="6"/>
      <c r="H366" s="6"/>
      <c r="I366" s="7"/>
      <c r="J366" s="7"/>
      <c r="K366" s="7"/>
      <c r="L366" s="7"/>
    </row>
    <row r="367" spans="2:12" ht="15.75">
      <c r="B367" s="19"/>
      <c r="C367" s="8"/>
      <c r="D367" s="5"/>
      <c r="E367" s="5"/>
      <c r="F367" s="5"/>
      <c r="G367" s="6"/>
      <c r="H367" s="6"/>
      <c r="I367" s="7"/>
      <c r="J367" s="7"/>
      <c r="K367" s="7"/>
      <c r="L367" s="7"/>
    </row>
    <row r="368" spans="2:12" ht="15.75">
      <c r="B368" s="19"/>
      <c r="C368" s="8"/>
      <c r="D368" s="5"/>
      <c r="E368" s="5"/>
      <c r="F368" s="5"/>
      <c r="G368" s="6"/>
      <c r="H368" s="6"/>
      <c r="I368" s="7"/>
      <c r="J368" s="7"/>
      <c r="K368" s="7"/>
      <c r="L368" s="7"/>
    </row>
    <row r="369" spans="2:12" ht="15.75">
      <c r="B369" s="19"/>
      <c r="C369" s="8"/>
      <c r="D369" s="5"/>
      <c r="E369" s="5"/>
      <c r="F369" s="5"/>
      <c r="G369" s="6"/>
      <c r="H369" s="6"/>
      <c r="I369" s="7"/>
      <c r="J369" s="7"/>
      <c r="K369" s="7"/>
      <c r="L369" s="7"/>
    </row>
    <row r="370" spans="2:12" ht="15.75">
      <c r="B370" s="19"/>
      <c r="C370" s="8"/>
      <c r="D370" s="5"/>
      <c r="E370" s="5"/>
      <c r="F370" s="5"/>
      <c r="G370" s="6"/>
      <c r="H370" s="6"/>
      <c r="I370" s="7"/>
      <c r="J370" s="7"/>
      <c r="K370" s="7"/>
      <c r="L370" s="7"/>
    </row>
    <row r="371" spans="2:12" ht="15.75">
      <c r="B371" s="19"/>
      <c r="C371" s="8"/>
      <c r="D371" s="5"/>
      <c r="E371" s="5"/>
      <c r="F371" s="5"/>
      <c r="G371" s="6"/>
      <c r="H371" s="6"/>
      <c r="I371" s="7"/>
      <c r="J371" s="7"/>
      <c r="K371" s="7"/>
      <c r="L371" s="7"/>
    </row>
    <row r="372" spans="2:12" ht="15.75">
      <c r="B372" s="19"/>
      <c r="C372" s="8"/>
      <c r="D372" s="5"/>
      <c r="E372" s="5"/>
      <c r="F372" s="5"/>
      <c r="G372" s="6"/>
      <c r="H372" s="6"/>
      <c r="I372" s="7"/>
      <c r="J372" s="7"/>
      <c r="K372" s="7"/>
      <c r="L372" s="7"/>
    </row>
    <row r="373" spans="2:12" ht="15.75">
      <c r="B373" s="19"/>
      <c r="C373" s="8"/>
      <c r="D373" s="5"/>
      <c r="E373" s="5"/>
      <c r="F373" s="5"/>
      <c r="G373" s="6"/>
      <c r="H373" s="6"/>
      <c r="I373" s="7"/>
      <c r="J373" s="7"/>
      <c r="K373" s="7"/>
      <c r="L373" s="7"/>
    </row>
    <row r="374" spans="2:12" ht="15.75">
      <c r="B374" s="19"/>
      <c r="C374" s="8"/>
      <c r="D374" s="5"/>
      <c r="E374" s="5"/>
      <c r="F374" s="5"/>
      <c r="G374" s="6"/>
      <c r="H374" s="6"/>
      <c r="I374" s="7"/>
      <c r="J374" s="7"/>
      <c r="K374" s="7"/>
      <c r="L374" s="7"/>
    </row>
    <row r="375" spans="2:12" ht="15.75">
      <c r="B375" s="19"/>
      <c r="C375" s="8"/>
      <c r="D375" s="5"/>
      <c r="E375" s="5"/>
      <c r="F375" s="5"/>
      <c r="G375" s="6"/>
      <c r="H375" s="6"/>
      <c r="I375" s="7"/>
      <c r="J375" s="7"/>
      <c r="K375" s="7"/>
      <c r="L375" s="7"/>
    </row>
    <row r="376" spans="2:12" ht="15.75">
      <c r="B376" s="19"/>
      <c r="C376" s="8"/>
      <c r="D376" s="5"/>
      <c r="E376" s="5"/>
      <c r="F376" s="5"/>
      <c r="G376" s="6"/>
      <c r="H376" s="6"/>
      <c r="I376" s="7"/>
      <c r="J376" s="7"/>
      <c r="K376" s="7"/>
      <c r="L376" s="7"/>
    </row>
    <row r="377" spans="2:12" ht="15.75">
      <c r="B377" s="19"/>
      <c r="C377" s="8"/>
      <c r="D377" s="5"/>
      <c r="E377" s="5"/>
      <c r="F377" s="5"/>
      <c r="G377" s="6"/>
      <c r="H377" s="6"/>
      <c r="I377" s="7"/>
      <c r="J377" s="7"/>
      <c r="K377" s="7"/>
      <c r="L377" s="7"/>
    </row>
    <row r="378" spans="2:12" ht="15.75">
      <c r="B378" s="19"/>
      <c r="C378" s="8"/>
      <c r="D378" s="5"/>
      <c r="E378" s="5"/>
      <c r="F378" s="5"/>
      <c r="G378" s="6"/>
      <c r="H378" s="6"/>
      <c r="I378" s="7"/>
      <c r="J378" s="7"/>
      <c r="K378" s="7"/>
      <c r="L378" s="7"/>
    </row>
    <row r="379" spans="2:12" ht="15.75">
      <c r="B379" s="19"/>
      <c r="C379" s="8"/>
      <c r="D379" s="5"/>
      <c r="E379" s="5"/>
      <c r="F379" s="5"/>
      <c r="G379" s="6"/>
      <c r="H379" s="6"/>
      <c r="I379" s="7"/>
      <c r="J379" s="7"/>
      <c r="K379" s="7"/>
      <c r="L379" s="7"/>
    </row>
    <row r="380" spans="2:12" ht="15.75">
      <c r="B380" s="19"/>
      <c r="C380" s="8"/>
      <c r="D380" s="5"/>
      <c r="E380" s="5"/>
      <c r="F380" s="5"/>
      <c r="G380" s="6"/>
      <c r="H380" s="6"/>
      <c r="I380" s="7"/>
      <c r="J380" s="7"/>
      <c r="K380" s="7"/>
      <c r="L380" s="7"/>
    </row>
    <row r="381" spans="2:12" ht="15.75">
      <c r="B381" s="19"/>
      <c r="C381" s="8"/>
      <c r="D381" s="5"/>
      <c r="E381" s="5"/>
      <c r="F381" s="5"/>
      <c r="G381" s="6"/>
      <c r="H381" s="6"/>
      <c r="I381" s="7"/>
      <c r="J381" s="7"/>
      <c r="K381" s="7"/>
      <c r="L381" s="7"/>
    </row>
    <row r="382" spans="2:12" ht="15.75">
      <c r="B382" s="19"/>
      <c r="C382" s="8"/>
      <c r="D382" s="5"/>
      <c r="E382" s="5"/>
      <c r="F382" s="5"/>
      <c r="G382" s="6"/>
      <c r="H382" s="6"/>
      <c r="I382" s="7"/>
      <c r="J382" s="7"/>
      <c r="K382" s="7"/>
      <c r="L382" s="7"/>
    </row>
    <row r="383" spans="2:12" ht="15.75">
      <c r="B383" s="19"/>
      <c r="C383" s="8"/>
      <c r="D383" s="5"/>
      <c r="E383" s="5"/>
      <c r="F383" s="5"/>
      <c r="G383" s="6"/>
      <c r="H383" s="6"/>
      <c r="I383" s="7"/>
      <c r="J383" s="7"/>
      <c r="K383" s="7"/>
      <c r="L383" s="7"/>
    </row>
    <row r="384" spans="2:12" ht="15.75">
      <c r="B384" s="19"/>
      <c r="C384" s="8"/>
      <c r="D384" s="5"/>
      <c r="E384" s="5"/>
      <c r="F384" s="5"/>
      <c r="G384" s="6"/>
      <c r="H384" s="6"/>
      <c r="I384" s="7"/>
      <c r="J384" s="7"/>
      <c r="K384" s="7"/>
      <c r="L384" s="7"/>
    </row>
    <row r="385" spans="2:12" ht="15.75">
      <c r="B385" s="19"/>
      <c r="C385" s="8"/>
      <c r="D385" s="5"/>
      <c r="E385" s="5"/>
      <c r="F385" s="5"/>
      <c r="G385" s="6"/>
      <c r="H385" s="6"/>
      <c r="I385" s="7"/>
      <c r="J385" s="7"/>
      <c r="K385" s="7"/>
      <c r="L385" s="7"/>
    </row>
    <row r="386" spans="2:12" ht="15.75">
      <c r="B386" s="19"/>
      <c r="C386" s="8"/>
      <c r="D386" s="5"/>
      <c r="E386" s="5"/>
      <c r="F386" s="5"/>
      <c r="G386" s="6"/>
      <c r="H386" s="6"/>
      <c r="I386" s="7"/>
      <c r="J386" s="7"/>
      <c r="K386" s="7"/>
      <c r="L386" s="7"/>
    </row>
    <row r="387" spans="2:12" ht="15.75">
      <c r="B387" s="19"/>
      <c r="C387" s="8"/>
      <c r="D387" s="5"/>
      <c r="E387" s="5"/>
      <c r="F387" s="5"/>
      <c r="G387" s="6"/>
      <c r="H387" s="6"/>
      <c r="I387" s="7"/>
      <c r="J387" s="7"/>
      <c r="K387" s="7"/>
      <c r="L387" s="7"/>
    </row>
    <row r="388" spans="2:12" ht="15.75">
      <c r="B388" s="19"/>
      <c r="C388" s="8"/>
      <c r="D388" s="5"/>
      <c r="E388" s="5"/>
      <c r="F388" s="5"/>
      <c r="G388" s="6"/>
      <c r="H388" s="6"/>
      <c r="I388" s="7"/>
      <c r="J388" s="7"/>
      <c r="K388" s="7"/>
      <c r="L388" s="7"/>
    </row>
    <row r="389" spans="2:12" ht="15.75">
      <c r="B389" s="19"/>
      <c r="C389" s="8"/>
      <c r="D389" s="5"/>
      <c r="E389" s="5"/>
      <c r="F389" s="5"/>
      <c r="G389" s="6"/>
      <c r="H389" s="6"/>
      <c r="I389" s="7"/>
      <c r="J389" s="7"/>
      <c r="K389" s="7"/>
      <c r="L389" s="7"/>
    </row>
    <row r="390" spans="2:12" ht="15.75">
      <c r="B390" s="19"/>
      <c r="C390" s="8"/>
      <c r="D390" s="5"/>
      <c r="E390" s="5"/>
      <c r="F390" s="5"/>
      <c r="G390" s="6"/>
      <c r="H390" s="6"/>
      <c r="I390" s="7"/>
      <c r="J390" s="7"/>
      <c r="K390" s="7"/>
      <c r="L390" s="7"/>
    </row>
    <row r="391" spans="2:12" ht="15.75">
      <c r="B391" s="19"/>
      <c r="C391" s="8"/>
      <c r="D391" s="5"/>
      <c r="E391" s="5"/>
      <c r="F391" s="5"/>
      <c r="G391" s="6"/>
      <c r="H391" s="6"/>
      <c r="I391" s="7"/>
      <c r="J391" s="7"/>
      <c r="K391" s="7"/>
      <c r="L391" s="7"/>
    </row>
    <row r="392" spans="2:12" ht="15.75">
      <c r="B392" s="19"/>
      <c r="C392" s="8"/>
      <c r="D392" s="5"/>
      <c r="E392" s="5"/>
      <c r="F392" s="5"/>
      <c r="G392" s="6"/>
      <c r="H392" s="6"/>
      <c r="I392" s="7"/>
      <c r="J392" s="7"/>
      <c r="K392" s="7"/>
      <c r="L392" s="7"/>
    </row>
    <row r="393" spans="2:12" ht="15.75">
      <c r="B393" s="19"/>
      <c r="C393" s="8"/>
      <c r="D393" s="5"/>
      <c r="E393" s="5"/>
      <c r="F393" s="5"/>
      <c r="G393" s="6"/>
      <c r="H393" s="6"/>
      <c r="I393" s="7"/>
      <c r="J393" s="7"/>
      <c r="K393" s="7"/>
      <c r="L393" s="7"/>
    </row>
    <row r="394" spans="2:12" ht="15.75">
      <c r="B394" s="19"/>
      <c r="C394" s="8"/>
      <c r="D394" s="5"/>
      <c r="E394" s="5"/>
      <c r="F394" s="5"/>
      <c r="G394" s="6"/>
      <c r="H394" s="6"/>
      <c r="I394" s="7"/>
      <c r="J394" s="7"/>
      <c r="K394" s="7"/>
      <c r="L394" s="7"/>
    </row>
    <row r="395" spans="2:12" ht="15.75">
      <c r="B395" s="19"/>
      <c r="C395" s="8"/>
      <c r="D395" s="5"/>
      <c r="E395" s="5"/>
      <c r="F395" s="5"/>
      <c r="G395" s="6"/>
      <c r="H395" s="6"/>
      <c r="I395" s="7"/>
      <c r="J395" s="7"/>
      <c r="K395" s="7"/>
      <c r="L395" s="7"/>
    </row>
    <row r="396" spans="2:12" ht="15.75">
      <c r="B396" s="19"/>
      <c r="C396" s="8"/>
      <c r="D396" s="5"/>
      <c r="E396" s="5"/>
      <c r="F396" s="5"/>
      <c r="G396" s="6"/>
      <c r="H396" s="6"/>
      <c r="I396" s="7"/>
      <c r="J396" s="7"/>
      <c r="K396" s="7"/>
      <c r="L396" s="7"/>
    </row>
    <row r="397" spans="2:12" ht="15.75">
      <c r="B397" s="19"/>
      <c r="C397" s="8"/>
      <c r="D397" s="5"/>
      <c r="E397" s="5"/>
      <c r="F397" s="5"/>
      <c r="G397" s="6"/>
      <c r="H397" s="6"/>
      <c r="I397" s="7"/>
      <c r="J397" s="7"/>
      <c r="K397" s="7"/>
      <c r="L397" s="7"/>
    </row>
    <row r="398" spans="2:12" ht="15.75">
      <c r="B398" s="19"/>
      <c r="C398" s="8"/>
      <c r="D398" s="5"/>
      <c r="E398" s="5"/>
      <c r="F398" s="5"/>
      <c r="G398" s="6"/>
      <c r="H398" s="6"/>
      <c r="I398" s="7"/>
      <c r="J398" s="7"/>
      <c r="K398" s="7"/>
      <c r="L398" s="7"/>
    </row>
    <row r="399" spans="2:12" ht="15.75">
      <c r="B399" s="19"/>
      <c r="C399" s="8"/>
      <c r="D399" s="5"/>
      <c r="E399" s="5"/>
      <c r="F399" s="5"/>
      <c r="G399" s="6"/>
      <c r="H399" s="6"/>
      <c r="I399" s="7"/>
      <c r="J399" s="7"/>
      <c r="K399" s="7"/>
      <c r="L399" s="7"/>
    </row>
    <row r="400" spans="2:12" ht="15.75">
      <c r="B400" s="19"/>
      <c r="C400" s="8"/>
      <c r="D400" s="5"/>
      <c r="E400" s="5"/>
      <c r="F400" s="5"/>
      <c r="G400" s="6"/>
      <c r="H400" s="6"/>
      <c r="I400" s="7"/>
      <c r="J400" s="7"/>
      <c r="K400" s="7"/>
      <c r="L400" s="7"/>
    </row>
    <row r="401" spans="2:12" ht="15.75">
      <c r="B401" s="19"/>
      <c r="C401" s="8"/>
      <c r="D401" s="5"/>
      <c r="E401" s="5"/>
      <c r="F401" s="5"/>
      <c r="G401" s="6"/>
      <c r="H401" s="6"/>
      <c r="I401" s="7"/>
      <c r="J401" s="7"/>
      <c r="K401" s="7"/>
      <c r="L401" s="7"/>
    </row>
    <row r="402" spans="2:12" ht="15.75">
      <c r="B402" s="19"/>
      <c r="C402" s="8"/>
      <c r="D402" s="5"/>
      <c r="E402" s="5"/>
      <c r="F402" s="5"/>
      <c r="G402" s="6"/>
      <c r="H402" s="6"/>
      <c r="I402" s="7"/>
      <c r="J402" s="7"/>
      <c r="K402" s="7"/>
      <c r="L402" s="7"/>
    </row>
    <row r="403" spans="2:12" ht="15.75">
      <c r="B403" s="19"/>
      <c r="C403" s="8"/>
      <c r="D403" s="5"/>
      <c r="E403" s="5"/>
      <c r="F403" s="5"/>
      <c r="G403" s="6"/>
      <c r="H403" s="6"/>
      <c r="I403" s="7"/>
      <c r="J403" s="7"/>
      <c r="K403" s="7"/>
      <c r="L403" s="7"/>
    </row>
    <row r="404" spans="2:12" ht="15.75">
      <c r="B404" s="19"/>
      <c r="C404" s="8"/>
      <c r="D404" s="5"/>
      <c r="E404" s="5"/>
      <c r="F404" s="5"/>
      <c r="G404" s="6"/>
      <c r="H404" s="6"/>
      <c r="I404" s="7"/>
      <c r="J404" s="7"/>
      <c r="K404" s="7"/>
      <c r="L404" s="7"/>
    </row>
    <row r="405" spans="2:12" ht="15.75">
      <c r="B405" s="19"/>
      <c r="C405" s="8"/>
      <c r="D405" s="5"/>
      <c r="E405" s="5"/>
      <c r="F405" s="5"/>
      <c r="G405" s="6"/>
      <c r="H405" s="6"/>
      <c r="I405" s="7"/>
      <c r="J405" s="7"/>
      <c r="K405" s="7"/>
      <c r="L405" s="7"/>
    </row>
    <row r="406" spans="2:12" ht="15.75">
      <c r="B406" s="19"/>
      <c r="C406" s="8"/>
      <c r="D406" s="5"/>
      <c r="E406" s="5"/>
      <c r="F406" s="5"/>
      <c r="G406" s="6"/>
      <c r="H406" s="6"/>
      <c r="I406" s="7"/>
      <c r="J406" s="7"/>
      <c r="K406" s="7"/>
      <c r="L406" s="7"/>
    </row>
    <row r="407" spans="2:12" ht="15.75">
      <c r="B407" s="19"/>
      <c r="C407" s="8"/>
      <c r="D407" s="5"/>
      <c r="E407" s="5"/>
      <c r="F407" s="5"/>
      <c r="G407" s="6"/>
      <c r="H407" s="6"/>
      <c r="I407" s="7"/>
      <c r="J407" s="7"/>
      <c r="K407" s="7"/>
      <c r="L407" s="7"/>
    </row>
    <row r="408" spans="2:12" ht="15.75">
      <c r="B408" s="19"/>
      <c r="C408" s="8"/>
      <c r="D408" s="5"/>
      <c r="E408" s="5"/>
      <c r="F408" s="5"/>
      <c r="G408" s="6"/>
      <c r="H408" s="6"/>
      <c r="I408" s="7"/>
      <c r="J408" s="7"/>
      <c r="K408" s="7"/>
      <c r="L408" s="7"/>
    </row>
    <row r="409" spans="2:12" ht="15.75">
      <c r="B409" s="19"/>
      <c r="C409" s="8"/>
      <c r="D409" s="5"/>
      <c r="E409" s="5"/>
      <c r="F409" s="5"/>
      <c r="G409" s="6"/>
      <c r="H409" s="6"/>
      <c r="I409" s="7"/>
      <c r="J409" s="7"/>
      <c r="K409" s="7"/>
      <c r="L409" s="7"/>
    </row>
    <row r="410" spans="2:12" ht="15.75">
      <c r="B410" s="19"/>
      <c r="C410" s="8"/>
      <c r="D410" s="5"/>
      <c r="E410" s="5"/>
      <c r="F410" s="5"/>
      <c r="G410" s="6"/>
      <c r="H410" s="6"/>
      <c r="I410" s="7"/>
      <c r="J410" s="7"/>
      <c r="K410" s="7"/>
      <c r="L410" s="7"/>
    </row>
    <row r="411" spans="2:12" ht="15.75">
      <c r="B411" s="19"/>
      <c r="C411" s="8"/>
      <c r="D411" s="5"/>
      <c r="E411" s="5"/>
      <c r="F411" s="5"/>
      <c r="G411" s="6"/>
      <c r="H411" s="6"/>
      <c r="I411" s="7"/>
      <c r="J411" s="7"/>
      <c r="K411" s="7"/>
      <c r="L411" s="7"/>
    </row>
    <row r="412" spans="2:12" ht="15.75">
      <c r="B412" s="19"/>
      <c r="C412" s="8"/>
      <c r="D412" s="5"/>
      <c r="E412" s="5"/>
      <c r="F412" s="5"/>
      <c r="G412" s="6"/>
      <c r="H412" s="6"/>
      <c r="I412" s="7"/>
      <c r="J412" s="7"/>
      <c r="K412" s="7"/>
      <c r="L412" s="7"/>
    </row>
    <row r="413" spans="2:12" ht="15.75">
      <c r="B413" s="19"/>
      <c r="C413" s="8"/>
      <c r="D413" s="5"/>
      <c r="E413" s="5"/>
      <c r="F413" s="5"/>
      <c r="G413" s="6"/>
      <c r="H413" s="6"/>
      <c r="I413" s="7"/>
      <c r="J413" s="7"/>
      <c r="K413" s="7"/>
      <c r="L413" s="7"/>
    </row>
    <row r="414" spans="2:12" ht="15.75">
      <c r="B414" s="19"/>
      <c r="C414" s="8"/>
      <c r="D414" s="5"/>
      <c r="E414" s="5"/>
      <c r="F414" s="5"/>
      <c r="G414" s="6"/>
      <c r="H414" s="6"/>
      <c r="I414" s="7"/>
      <c r="J414" s="7"/>
      <c r="K414" s="7"/>
      <c r="L414" s="7"/>
    </row>
    <row r="415" spans="2:12" ht="15.75">
      <c r="B415" s="19"/>
      <c r="C415" s="8"/>
      <c r="D415" s="5"/>
      <c r="E415" s="5"/>
      <c r="F415" s="5"/>
      <c r="G415" s="6"/>
      <c r="H415" s="6"/>
      <c r="I415" s="7"/>
      <c r="J415" s="7"/>
      <c r="K415" s="7"/>
      <c r="L415" s="7"/>
    </row>
  </sheetData>
  <mergeCells count="59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18"/>
    <mergeCell ref="B5:B18"/>
    <mergeCell ref="A19:A27"/>
    <mergeCell ref="B19:B27"/>
    <mergeCell ref="A28:A34"/>
    <mergeCell ref="B28:B34"/>
    <mergeCell ref="A35:A37"/>
    <mergeCell ref="B35:B37"/>
    <mergeCell ref="A38:A40"/>
    <mergeCell ref="B38:B40"/>
    <mergeCell ref="A41:A52"/>
    <mergeCell ref="B41:B52"/>
    <mergeCell ref="A53:A59"/>
    <mergeCell ref="B53:B59"/>
    <mergeCell ref="A60:A64"/>
    <mergeCell ref="B60:B64"/>
    <mergeCell ref="A65:A74"/>
    <mergeCell ref="B65:B74"/>
    <mergeCell ref="A75:A77"/>
    <mergeCell ref="B75:B77"/>
    <mergeCell ref="A78:A85"/>
    <mergeCell ref="B78:B85"/>
    <mergeCell ref="A86:A92"/>
    <mergeCell ref="B86:B92"/>
    <mergeCell ref="A93:A99"/>
    <mergeCell ref="B93:B99"/>
    <mergeCell ref="A100:A105"/>
    <mergeCell ref="B100:B105"/>
    <mergeCell ref="A106:A112"/>
    <mergeCell ref="B106:B112"/>
    <mergeCell ref="A113:A121"/>
    <mergeCell ref="B113:B121"/>
    <mergeCell ref="A122:A127"/>
    <mergeCell ref="B122:B127"/>
    <mergeCell ref="A128:A129"/>
    <mergeCell ref="B128:B129"/>
    <mergeCell ref="A130:A135"/>
    <mergeCell ref="B130:B135"/>
    <mergeCell ref="A136:A143"/>
    <mergeCell ref="B136:B143"/>
    <mergeCell ref="A147:A149"/>
    <mergeCell ref="B147:B149"/>
    <mergeCell ref="A196:A198"/>
    <mergeCell ref="B196:B198"/>
    <mergeCell ref="A200:H200"/>
    <mergeCell ref="A201:J20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1"/>
  <sheetViews>
    <sheetView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2" sqref="E12"/>
    </sheetView>
  </sheetViews>
  <sheetFormatPr defaultColWidth="9.00390625" defaultRowHeight="12.75"/>
  <cols>
    <col min="1" max="1" width="8.125" style="33" customWidth="1"/>
    <col min="2" max="2" width="20.125" style="34" customWidth="1"/>
    <col min="3" max="3" width="25.75390625" style="12" customWidth="1"/>
    <col min="4" max="4" width="68.25390625" style="1" customWidth="1"/>
    <col min="5" max="5" width="17.00390625" style="1" customWidth="1"/>
    <col min="6" max="6" width="18.25390625" style="82" customWidth="1"/>
    <col min="7" max="7" width="18.00390625" style="2" customWidth="1"/>
    <col min="8" max="8" width="17.625" style="96" customWidth="1"/>
    <col min="9" max="9" width="18.75390625" style="13" customWidth="1"/>
    <col min="10" max="10" width="14.25390625" style="13" customWidth="1"/>
    <col min="11" max="11" width="15.75390625" style="9" customWidth="1"/>
    <col min="12" max="12" width="12.875" style="9" customWidth="1"/>
    <col min="13" max="13" width="16.125" style="9" customWidth="1"/>
    <col min="14" max="16384" width="17.375" style="9" customWidth="1"/>
  </cols>
  <sheetData>
    <row r="1" ht="15.75">
      <c r="M1" s="110" t="s">
        <v>199</v>
      </c>
    </row>
    <row r="4" spans="2:10" ht="20.25">
      <c r="B4" s="126" t="s">
        <v>200</v>
      </c>
      <c r="C4" s="126"/>
      <c r="D4" s="126"/>
      <c r="E4" s="126"/>
      <c r="F4" s="126"/>
      <c r="G4" s="126"/>
      <c r="H4" s="126"/>
      <c r="I4" s="10"/>
      <c r="J4" s="10"/>
    </row>
    <row r="5" spans="8:13" ht="15.75">
      <c r="H5" s="93"/>
      <c r="I5" s="11"/>
      <c r="J5" s="3"/>
      <c r="M5" s="3" t="s">
        <v>0</v>
      </c>
    </row>
    <row r="6" spans="1:13" ht="45.75" customHeight="1">
      <c r="A6" s="133" t="s">
        <v>1</v>
      </c>
      <c r="B6" s="134" t="s">
        <v>2</v>
      </c>
      <c r="C6" s="133" t="s">
        <v>3</v>
      </c>
      <c r="D6" s="134" t="s">
        <v>4</v>
      </c>
      <c r="E6" s="135" t="s">
        <v>180</v>
      </c>
      <c r="F6" s="136" t="s">
        <v>178</v>
      </c>
      <c r="G6" s="137"/>
      <c r="H6" s="138" t="s">
        <v>179</v>
      </c>
      <c r="I6" s="140" t="s">
        <v>165</v>
      </c>
      <c r="J6" s="142" t="s">
        <v>166</v>
      </c>
      <c r="K6" s="140" t="s">
        <v>190</v>
      </c>
      <c r="L6" s="154" t="s">
        <v>191</v>
      </c>
      <c r="M6" s="142" t="s">
        <v>198</v>
      </c>
    </row>
    <row r="7" spans="1:14" ht="47.25" customHeight="1">
      <c r="A7" s="133"/>
      <c r="B7" s="134"/>
      <c r="C7" s="133"/>
      <c r="D7" s="134"/>
      <c r="E7" s="135"/>
      <c r="F7" s="81" t="s">
        <v>162</v>
      </c>
      <c r="G7" s="81" t="s">
        <v>163</v>
      </c>
      <c r="H7" s="139"/>
      <c r="I7" s="141"/>
      <c r="J7" s="141"/>
      <c r="K7" s="141"/>
      <c r="L7" s="155"/>
      <c r="M7" s="141"/>
      <c r="N7" s="52"/>
    </row>
    <row r="8" spans="1:14" ht="15.75">
      <c r="A8" s="143" t="s">
        <v>201</v>
      </c>
      <c r="B8" s="145" t="s">
        <v>137</v>
      </c>
      <c r="C8" s="4" t="s">
        <v>36</v>
      </c>
      <c r="D8" s="24" t="s">
        <v>42</v>
      </c>
      <c r="E8" s="55">
        <v>306759.7</v>
      </c>
      <c r="F8" s="55">
        <v>535769</v>
      </c>
      <c r="G8" s="55">
        <v>270000</v>
      </c>
      <c r="H8" s="55">
        <v>342575</v>
      </c>
      <c r="I8" s="54">
        <f aca="true" t="shared" si="0" ref="I8:I65">H8-G8</f>
        <v>72575</v>
      </c>
      <c r="J8" s="99">
        <f>H8/G8*100</f>
        <v>126.87962962962962</v>
      </c>
      <c r="K8" s="101">
        <f>H8-F8</f>
        <v>-193194</v>
      </c>
      <c r="L8" s="104">
        <f>H8/F8*100</f>
        <v>63.94080284600266</v>
      </c>
      <c r="M8" s="101">
        <v>535769</v>
      </c>
      <c r="N8" s="52"/>
    </row>
    <row r="9" spans="1:15" ht="31.5">
      <c r="A9" s="157"/>
      <c r="B9" s="150"/>
      <c r="C9" s="4" t="s">
        <v>43</v>
      </c>
      <c r="D9" s="23" t="s">
        <v>44</v>
      </c>
      <c r="E9" s="55">
        <v>3327.5</v>
      </c>
      <c r="F9" s="55">
        <v>3792.7</v>
      </c>
      <c r="G9" s="55">
        <v>3792.7</v>
      </c>
      <c r="H9" s="55">
        <v>5789.2</v>
      </c>
      <c r="I9" s="54">
        <f t="shared" si="0"/>
        <v>1996.5</v>
      </c>
      <c r="J9" s="99">
        <f>H9/G9*100</f>
        <v>152.64059904553483</v>
      </c>
      <c r="K9" s="101">
        <f aca="true" t="shared" si="1" ref="K9:K63">H9-F9</f>
        <v>1996.5</v>
      </c>
      <c r="L9" s="104">
        <f aca="true" t="shared" si="2" ref="L9:L59">H9/F9*100</f>
        <v>152.64059904553483</v>
      </c>
      <c r="M9" s="101">
        <v>6380.2</v>
      </c>
      <c r="N9" s="98"/>
      <c r="O9" s="52"/>
    </row>
    <row r="10" spans="1:15" ht="31.5">
      <c r="A10" s="157"/>
      <c r="B10" s="150"/>
      <c r="C10" s="63" t="s">
        <v>128</v>
      </c>
      <c r="D10" s="64" t="s">
        <v>157</v>
      </c>
      <c r="E10" s="55">
        <v>13051.5</v>
      </c>
      <c r="F10" s="55"/>
      <c r="G10" s="55"/>
      <c r="H10" s="55">
        <v>7676.9</v>
      </c>
      <c r="I10" s="54">
        <f t="shared" si="0"/>
        <v>7676.9</v>
      </c>
      <c r="J10" s="99"/>
      <c r="K10" s="101">
        <f t="shared" si="1"/>
        <v>7676.9</v>
      </c>
      <c r="L10" s="104"/>
      <c r="M10" s="101">
        <v>8000</v>
      </c>
      <c r="N10" s="103"/>
      <c r="O10" s="52"/>
    </row>
    <row r="11" spans="1:15" ht="31.5">
      <c r="A11" s="157"/>
      <c r="B11" s="150"/>
      <c r="C11" s="4" t="s">
        <v>114</v>
      </c>
      <c r="D11" s="25" t="s">
        <v>119</v>
      </c>
      <c r="E11" s="55">
        <v>5.4</v>
      </c>
      <c r="F11" s="55"/>
      <c r="G11" s="55"/>
      <c r="H11" s="55">
        <v>17.4</v>
      </c>
      <c r="I11" s="54">
        <f t="shared" si="0"/>
        <v>17.4</v>
      </c>
      <c r="J11" s="99"/>
      <c r="K11" s="101">
        <f t="shared" si="1"/>
        <v>17.4</v>
      </c>
      <c r="L11" s="104"/>
      <c r="M11" s="101">
        <v>150</v>
      </c>
      <c r="N11" s="103"/>
      <c r="O11" s="52"/>
    </row>
    <row r="12" spans="1:15" ht="47.25">
      <c r="A12" s="157"/>
      <c r="B12" s="150"/>
      <c r="C12" s="63" t="s">
        <v>131</v>
      </c>
      <c r="D12" s="64" t="s">
        <v>159</v>
      </c>
      <c r="E12" s="55">
        <v>437001.9</v>
      </c>
      <c r="F12" s="55">
        <v>1122450.5</v>
      </c>
      <c r="G12" s="55">
        <v>593419.9</v>
      </c>
      <c r="H12" s="55">
        <v>272240.6</v>
      </c>
      <c r="I12" s="54">
        <f t="shared" si="0"/>
        <v>-321179.30000000005</v>
      </c>
      <c r="J12" s="99">
        <f>H12/G12*100</f>
        <v>45.876553853350714</v>
      </c>
      <c r="K12" s="101">
        <f t="shared" si="1"/>
        <v>-850209.9</v>
      </c>
      <c r="L12" s="104">
        <f t="shared" si="2"/>
        <v>24.254129692133414</v>
      </c>
      <c r="M12" s="101">
        <v>1122450.5</v>
      </c>
      <c r="N12" s="52"/>
      <c r="O12" s="52"/>
    </row>
    <row r="13" spans="1:13" ht="31.5">
      <c r="A13" s="157"/>
      <c r="B13" s="150"/>
      <c r="C13" s="63" t="s">
        <v>146</v>
      </c>
      <c r="D13" s="64" t="s">
        <v>160</v>
      </c>
      <c r="E13" s="55">
        <v>2217.5</v>
      </c>
      <c r="F13" s="55"/>
      <c r="G13" s="55"/>
      <c r="H13" s="55"/>
      <c r="I13" s="54">
        <f t="shared" si="0"/>
        <v>0</v>
      </c>
      <c r="J13" s="99"/>
      <c r="K13" s="101">
        <f t="shared" si="1"/>
        <v>0</v>
      </c>
      <c r="L13" s="104"/>
      <c r="M13" s="101"/>
    </row>
    <row r="14" spans="1:13" ht="15.75">
      <c r="A14" s="157"/>
      <c r="B14" s="150"/>
      <c r="C14" s="4" t="s">
        <v>77</v>
      </c>
      <c r="D14" s="23" t="s">
        <v>78</v>
      </c>
      <c r="E14" s="55"/>
      <c r="F14" s="55"/>
      <c r="G14" s="55"/>
      <c r="H14" s="55">
        <v>467.2</v>
      </c>
      <c r="I14" s="54">
        <f t="shared" si="0"/>
        <v>467.2</v>
      </c>
      <c r="J14" s="99"/>
      <c r="K14" s="101">
        <f t="shared" si="1"/>
        <v>467.2</v>
      </c>
      <c r="L14" s="104"/>
      <c r="M14" s="101">
        <v>468.3</v>
      </c>
    </row>
    <row r="15" spans="1:13" ht="15.75">
      <c r="A15" s="157"/>
      <c r="B15" s="150"/>
      <c r="C15" s="4" t="s">
        <v>81</v>
      </c>
      <c r="D15" s="23" t="s">
        <v>82</v>
      </c>
      <c r="E15" s="55">
        <v>-856.2</v>
      </c>
      <c r="F15" s="55"/>
      <c r="G15" s="55"/>
      <c r="H15" s="55">
        <v>-343.3</v>
      </c>
      <c r="I15" s="54">
        <f t="shared" si="0"/>
        <v>-343.3</v>
      </c>
      <c r="J15" s="99"/>
      <c r="K15" s="101">
        <f t="shared" si="1"/>
        <v>-343.3</v>
      </c>
      <c r="L15" s="104"/>
      <c r="M15" s="101"/>
    </row>
    <row r="16" spans="1:13" ht="15.75">
      <c r="A16" s="157"/>
      <c r="B16" s="150"/>
      <c r="C16" s="4" t="s">
        <v>79</v>
      </c>
      <c r="D16" s="23" t="s">
        <v>117</v>
      </c>
      <c r="E16" s="55"/>
      <c r="F16" s="55"/>
      <c r="G16" s="55"/>
      <c r="H16" s="55">
        <v>28341.9</v>
      </c>
      <c r="I16" s="54">
        <f t="shared" si="0"/>
        <v>28341.9</v>
      </c>
      <c r="J16" s="99"/>
      <c r="K16" s="101">
        <f t="shared" si="1"/>
        <v>28341.9</v>
      </c>
      <c r="L16" s="104"/>
      <c r="M16" s="101">
        <v>29000</v>
      </c>
    </row>
    <row r="17" spans="1:13" ht="15.75">
      <c r="A17" s="157"/>
      <c r="B17" s="150"/>
      <c r="C17" s="4" t="s">
        <v>83</v>
      </c>
      <c r="D17" s="23" t="s">
        <v>121</v>
      </c>
      <c r="E17" s="55"/>
      <c r="F17" s="55">
        <v>6254.7</v>
      </c>
      <c r="G17" s="55">
        <v>2539.6</v>
      </c>
      <c r="H17" s="55">
        <v>630.8</v>
      </c>
      <c r="I17" s="54">
        <f t="shared" si="0"/>
        <v>-1908.8</v>
      </c>
      <c r="J17" s="99">
        <f aca="true" t="shared" si="3" ref="J17:J24">H17/G17*100</f>
        <v>24.838557253110725</v>
      </c>
      <c r="K17" s="101">
        <f t="shared" si="1"/>
        <v>-5623.9</v>
      </c>
      <c r="L17" s="104">
        <f t="shared" si="2"/>
        <v>10.085215917629942</v>
      </c>
      <c r="M17" s="101">
        <v>6254.7</v>
      </c>
    </row>
    <row r="18" spans="1:13" s="16" customFormat="1" ht="15.75">
      <c r="A18" s="158"/>
      <c r="B18" s="151"/>
      <c r="C18" s="15"/>
      <c r="D18" s="26" t="s">
        <v>21</v>
      </c>
      <c r="E18" s="57">
        <f>SUM(E8:E11,E12:E17)</f>
        <v>761507.3</v>
      </c>
      <c r="F18" s="57">
        <f>SUM(F8:F11,F12:F17)</f>
        <v>1668266.9</v>
      </c>
      <c r="G18" s="57">
        <f>SUM(G8:G11,G12:G17)</f>
        <v>869752.2000000001</v>
      </c>
      <c r="H18" s="57">
        <f>SUM(H8:H17)</f>
        <v>657395.7000000001</v>
      </c>
      <c r="I18" s="85">
        <f t="shared" si="0"/>
        <v>-212356.5</v>
      </c>
      <c r="J18" s="100">
        <f t="shared" si="3"/>
        <v>75.58425261815952</v>
      </c>
      <c r="K18" s="102">
        <f t="shared" si="1"/>
        <v>-1010871.1999999998</v>
      </c>
      <c r="L18" s="105">
        <f t="shared" si="2"/>
        <v>39.40590681263292</v>
      </c>
      <c r="M18" s="57">
        <f>SUM(M8:M17)</f>
        <v>1708472.7</v>
      </c>
    </row>
    <row r="19" spans="1:13" ht="15.75">
      <c r="A19" s="114" t="s">
        <v>7</v>
      </c>
      <c r="B19" s="116" t="s">
        <v>8</v>
      </c>
      <c r="C19" s="4" t="s">
        <v>9</v>
      </c>
      <c r="D19" s="23" t="s">
        <v>10</v>
      </c>
      <c r="E19" s="55">
        <v>1717314.3</v>
      </c>
      <c r="F19" s="56">
        <v>5757879.3</v>
      </c>
      <c r="G19" s="55">
        <v>2441829.5</v>
      </c>
      <c r="H19" s="55">
        <v>2520747.9</v>
      </c>
      <c r="I19" s="54">
        <f t="shared" si="0"/>
        <v>78918.3999999999</v>
      </c>
      <c r="J19" s="99">
        <f t="shared" si="3"/>
        <v>103.23193736499621</v>
      </c>
      <c r="K19" s="101">
        <f t="shared" si="1"/>
        <v>-3237131.4</v>
      </c>
      <c r="L19" s="104">
        <f t="shared" si="2"/>
        <v>43.77910283739362</v>
      </c>
      <c r="M19" s="101">
        <v>6062928.5</v>
      </c>
    </row>
    <row r="20" spans="1:13" ht="15.75">
      <c r="A20" s="115"/>
      <c r="B20" s="116"/>
      <c r="C20" s="4" t="s">
        <v>11</v>
      </c>
      <c r="D20" s="23" t="s">
        <v>120</v>
      </c>
      <c r="E20" s="55">
        <v>201526</v>
      </c>
      <c r="F20" s="55">
        <v>431806</v>
      </c>
      <c r="G20" s="55">
        <v>204114.6</v>
      </c>
      <c r="H20" s="55">
        <v>211086.3</v>
      </c>
      <c r="I20" s="54">
        <f t="shared" si="0"/>
        <v>6971.6999999999825</v>
      </c>
      <c r="J20" s="99">
        <f t="shared" si="3"/>
        <v>103.41558124700533</v>
      </c>
      <c r="K20" s="101">
        <f t="shared" si="1"/>
        <v>-220719.7</v>
      </c>
      <c r="L20" s="104">
        <f t="shared" si="2"/>
        <v>48.88452221599514</v>
      </c>
      <c r="M20" s="101">
        <v>436225</v>
      </c>
    </row>
    <row r="21" spans="1:13" ht="15.75">
      <c r="A21" s="115"/>
      <c r="B21" s="116"/>
      <c r="C21" s="4" t="s">
        <v>12</v>
      </c>
      <c r="D21" s="23" t="s">
        <v>13</v>
      </c>
      <c r="E21" s="55">
        <v>10</v>
      </c>
      <c r="F21" s="55">
        <v>1208</v>
      </c>
      <c r="G21" s="55">
        <v>609.5</v>
      </c>
      <c r="H21" s="55">
        <v>66.4</v>
      </c>
      <c r="I21" s="54">
        <f t="shared" si="0"/>
        <v>-543.1</v>
      </c>
      <c r="J21" s="99">
        <f t="shared" si="3"/>
        <v>10.894175553732568</v>
      </c>
      <c r="K21" s="101">
        <f t="shared" si="1"/>
        <v>-1141.6</v>
      </c>
      <c r="L21" s="104">
        <f t="shared" si="2"/>
        <v>5.496688741721855</v>
      </c>
      <c r="M21" s="101">
        <v>605.7</v>
      </c>
    </row>
    <row r="22" spans="1:13" ht="15.75">
      <c r="A22" s="115"/>
      <c r="B22" s="116"/>
      <c r="C22" s="4" t="s">
        <v>14</v>
      </c>
      <c r="D22" s="23" t="s">
        <v>15</v>
      </c>
      <c r="E22" s="55">
        <v>13140.3</v>
      </c>
      <c r="F22" s="55">
        <v>110629.4</v>
      </c>
      <c r="G22" s="55">
        <v>19864.6</v>
      </c>
      <c r="H22" s="55">
        <v>19973.4</v>
      </c>
      <c r="I22" s="54">
        <f t="shared" si="0"/>
        <v>108.80000000000291</v>
      </c>
      <c r="J22" s="99">
        <f t="shared" si="3"/>
        <v>100.54770798304521</v>
      </c>
      <c r="K22" s="101">
        <f t="shared" si="1"/>
        <v>-90656</v>
      </c>
      <c r="L22" s="104">
        <f t="shared" si="2"/>
        <v>18.05433275422266</v>
      </c>
      <c r="M22" s="101">
        <v>113391</v>
      </c>
    </row>
    <row r="23" spans="1:13" ht="15.75">
      <c r="A23" s="115"/>
      <c r="B23" s="116"/>
      <c r="C23" s="4" t="s">
        <v>16</v>
      </c>
      <c r="D23" s="23" t="s">
        <v>17</v>
      </c>
      <c r="E23" s="55">
        <v>1112696.9</v>
      </c>
      <c r="F23" s="55">
        <v>2131261</v>
      </c>
      <c r="G23" s="55">
        <v>992993.6</v>
      </c>
      <c r="H23" s="55">
        <v>1056159.6</v>
      </c>
      <c r="I23" s="54">
        <f t="shared" si="0"/>
        <v>63166.00000000012</v>
      </c>
      <c r="J23" s="99">
        <f t="shared" si="3"/>
        <v>106.3611688937371</v>
      </c>
      <c r="K23" s="101">
        <f t="shared" si="1"/>
        <v>-1075101.4</v>
      </c>
      <c r="L23" s="104">
        <f t="shared" si="2"/>
        <v>49.55561988888269</v>
      </c>
      <c r="M23" s="101">
        <v>2320048</v>
      </c>
    </row>
    <row r="24" spans="1:13" ht="15.75">
      <c r="A24" s="115"/>
      <c r="B24" s="116"/>
      <c r="C24" s="4" t="s">
        <v>115</v>
      </c>
      <c r="D24" s="23" t="s">
        <v>18</v>
      </c>
      <c r="E24" s="55">
        <v>16316.2</v>
      </c>
      <c r="F24" s="55">
        <v>35895</v>
      </c>
      <c r="G24" s="55">
        <v>15746</v>
      </c>
      <c r="H24" s="55">
        <v>20988.5</v>
      </c>
      <c r="I24" s="54">
        <f t="shared" si="0"/>
        <v>5242.5</v>
      </c>
      <c r="J24" s="99">
        <f t="shared" si="3"/>
        <v>133.29416994792328</v>
      </c>
      <c r="K24" s="101">
        <f t="shared" si="1"/>
        <v>-14906.5</v>
      </c>
      <c r="L24" s="104">
        <f t="shared" si="2"/>
        <v>58.47193202395877</v>
      </c>
      <c r="M24" s="101">
        <v>41051.9</v>
      </c>
    </row>
    <row r="25" spans="1:13" ht="15.75">
      <c r="A25" s="115"/>
      <c r="B25" s="116"/>
      <c r="C25" s="4" t="s">
        <v>19</v>
      </c>
      <c r="D25" s="23" t="s">
        <v>20</v>
      </c>
      <c r="E25" s="55">
        <v>25483.8</v>
      </c>
      <c r="F25" s="55"/>
      <c r="G25" s="55"/>
      <c r="H25" s="55">
        <v>35229.7</v>
      </c>
      <c r="I25" s="54">
        <f t="shared" si="0"/>
        <v>35229.7</v>
      </c>
      <c r="J25" s="99"/>
      <c r="K25" s="101">
        <f t="shared" si="1"/>
        <v>35229.7</v>
      </c>
      <c r="L25" s="104"/>
      <c r="M25" s="101">
        <v>35579.8</v>
      </c>
    </row>
    <row r="26" spans="1:13" ht="15.75">
      <c r="A26" s="115"/>
      <c r="B26" s="116"/>
      <c r="C26" s="4" t="s">
        <v>77</v>
      </c>
      <c r="D26" s="23" t="s">
        <v>78</v>
      </c>
      <c r="E26" s="59">
        <v>7655.2</v>
      </c>
      <c r="F26" s="55">
        <v>10841</v>
      </c>
      <c r="G26" s="55">
        <v>4655.3</v>
      </c>
      <c r="H26" s="55">
        <v>7586.1</v>
      </c>
      <c r="I26" s="54">
        <f t="shared" si="0"/>
        <v>2930.8</v>
      </c>
      <c r="J26" s="99">
        <f>H26/G26*100</f>
        <v>162.9562004596911</v>
      </c>
      <c r="K26" s="101">
        <f t="shared" si="1"/>
        <v>-3254.8999999999996</v>
      </c>
      <c r="L26" s="104">
        <f t="shared" si="2"/>
        <v>69.976016972604</v>
      </c>
      <c r="M26" s="101">
        <v>10735</v>
      </c>
    </row>
    <row r="27" spans="1:13" s="16" customFormat="1" ht="15.75">
      <c r="A27" s="115"/>
      <c r="B27" s="116"/>
      <c r="C27" s="22"/>
      <c r="D27" s="26" t="s">
        <v>21</v>
      </c>
      <c r="E27" s="57">
        <f>SUM(E19:E26)</f>
        <v>3094142.7</v>
      </c>
      <c r="F27" s="57">
        <f>SUM(F19:F26)</f>
        <v>8479519.7</v>
      </c>
      <c r="G27" s="57">
        <f>SUM(G19:G26)</f>
        <v>3679813.1</v>
      </c>
      <c r="H27" s="57">
        <f>SUM(H19:H26)</f>
        <v>3871837.9</v>
      </c>
      <c r="I27" s="85">
        <f t="shared" si="0"/>
        <v>192024.7999999998</v>
      </c>
      <c r="J27" s="100">
        <f>H27/G27*100</f>
        <v>105.21833024617473</v>
      </c>
      <c r="K27" s="102">
        <f t="shared" si="1"/>
        <v>-4607681.799999999</v>
      </c>
      <c r="L27" s="105">
        <f t="shared" si="2"/>
        <v>45.66105200510355</v>
      </c>
      <c r="M27" s="57">
        <f>SUM(M19:M26)</f>
        <v>9020564.9</v>
      </c>
    </row>
    <row r="28" spans="1:13" ht="15.75">
      <c r="A28" s="122" t="s">
        <v>22</v>
      </c>
      <c r="B28" s="116" t="s">
        <v>196</v>
      </c>
      <c r="C28" s="4" t="s">
        <v>24</v>
      </c>
      <c r="D28" s="23" t="s">
        <v>25</v>
      </c>
      <c r="E28" s="55">
        <v>45639.5</v>
      </c>
      <c r="F28" s="55">
        <v>107932</v>
      </c>
      <c r="G28" s="55">
        <v>49933</v>
      </c>
      <c r="H28" s="55">
        <f>49531.3+859.3</f>
        <v>50390.600000000006</v>
      </c>
      <c r="I28" s="54">
        <f t="shared" si="0"/>
        <v>457.6000000000058</v>
      </c>
      <c r="J28" s="99">
        <f>H28/G28*100</f>
        <v>100.91642801353815</v>
      </c>
      <c r="K28" s="107">
        <f t="shared" si="1"/>
        <v>-57541.399999999994</v>
      </c>
      <c r="L28" s="159">
        <f t="shared" si="2"/>
        <v>46.687358707334255</v>
      </c>
      <c r="M28" s="107">
        <v>109712.2</v>
      </c>
    </row>
    <row r="29" spans="1:13" ht="31.5">
      <c r="A29" s="122"/>
      <c r="B29" s="116"/>
      <c r="C29" s="4" t="s">
        <v>114</v>
      </c>
      <c r="D29" s="25" t="s">
        <v>119</v>
      </c>
      <c r="E29" s="59">
        <v>3.2</v>
      </c>
      <c r="F29" s="55"/>
      <c r="G29" s="55"/>
      <c r="H29" s="55">
        <v>10.3</v>
      </c>
      <c r="I29" s="54">
        <f t="shared" si="0"/>
        <v>10.3</v>
      </c>
      <c r="J29" s="99"/>
      <c r="K29" s="107">
        <f t="shared" si="1"/>
        <v>10.3</v>
      </c>
      <c r="L29" s="159"/>
      <c r="M29" s="107">
        <v>10.3</v>
      </c>
    </row>
    <row r="30" spans="1:13" ht="15.75">
      <c r="A30" s="122"/>
      <c r="B30" s="116"/>
      <c r="C30" s="4" t="s">
        <v>77</v>
      </c>
      <c r="D30" s="23" t="s">
        <v>78</v>
      </c>
      <c r="E30" s="59">
        <f>17652</f>
        <v>17652</v>
      </c>
      <c r="F30" s="55">
        <v>66043.5</v>
      </c>
      <c r="G30" s="55">
        <v>24992.9</v>
      </c>
      <c r="H30" s="55">
        <v>31363.8</v>
      </c>
      <c r="I30" s="54">
        <f t="shared" si="0"/>
        <v>6370.899999999998</v>
      </c>
      <c r="J30" s="99">
        <f>H30/G30*100</f>
        <v>125.49083939838914</v>
      </c>
      <c r="K30" s="107">
        <f t="shared" si="1"/>
        <v>-34679.7</v>
      </c>
      <c r="L30" s="159">
        <f t="shared" si="2"/>
        <v>47.48960912126098</v>
      </c>
      <c r="M30" s="107">
        <v>69043.5</v>
      </c>
    </row>
    <row r="31" spans="1:13" ht="15.75">
      <c r="A31" s="122"/>
      <c r="B31" s="116"/>
      <c r="C31" s="4" t="s">
        <v>96</v>
      </c>
      <c r="D31" s="64" t="s">
        <v>141</v>
      </c>
      <c r="E31" s="59"/>
      <c r="F31" s="55">
        <v>222126.2</v>
      </c>
      <c r="G31" s="55">
        <v>124482.6</v>
      </c>
      <c r="H31" s="55">
        <v>124482.6</v>
      </c>
      <c r="I31" s="54">
        <f t="shared" si="0"/>
        <v>0</v>
      </c>
      <c r="J31" s="99">
        <f>H31/G31*100</f>
        <v>100</v>
      </c>
      <c r="K31" s="107">
        <f t="shared" si="1"/>
        <v>-97643.6</v>
      </c>
      <c r="L31" s="159">
        <f t="shared" si="2"/>
        <v>56.04138548266706</v>
      </c>
      <c r="M31" s="55">
        <v>222126.2</v>
      </c>
    </row>
    <row r="32" spans="1:13" s="16" customFormat="1" ht="15.75">
      <c r="A32" s="144"/>
      <c r="B32" s="144"/>
      <c r="C32" s="42"/>
      <c r="D32" s="26" t="s">
        <v>21</v>
      </c>
      <c r="E32" s="57">
        <f>SUM(E28:E31)</f>
        <v>63294.7</v>
      </c>
      <c r="F32" s="57">
        <f>SUM(F28:F31)</f>
        <v>396101.7</v>
      </c>
      <c r="G32" s="57">
        <f>SUM(G28:G31)</f>
        <v>199408.5</v>
      </c>
      <c r="H32" s="57">
        <f>SUM(H28:H31)</f>
        <v>206247.30000000002</v>
      </c>
      <c r="I32" s="85">
        <f t="shared" si="0"/>
        <v>6838.8000000000175</v>
      </c>
      <c r="J32" s="100">
        <f aca="true" t="shared" si="4" ref="J32:J39">H32/G32*100</f>
        <v>103.42954287304704</v>
      </c>
      <c r="K32" s="102">
        <f t="shared" si="1"/>
        <v>-189854.4</v>
      </c>
      <c r="L32" s="105">
        <f t="shared" si="2"/>
        <v>52.06927917754456</v>
      </c>
      <c r="M32" s="102">
        <f>SUM(M28:M31)</f>
        <v>400892.2</v>
      </c>
    </row>
    <row r="33" spans="1:13" ht="78.75">
      <c r="A33" s="122" t="s">
        <v>188</v>
      </c>
      <c r="B33" s="116" t="s">
        <v>189</v>
      </c>
      <c r="C33" s="90" t="s">
        <v>183</v>
      </c>
      <c r="D33" s="89" t="s">
        <v>184</v>
      </c>
      <c r="E33" s="55">
        <v>185</v>
      </c>
      <c r="F33" s="55">
        <v>198</v>
      </c>
      <c r="G33" s="55">
        <v>55</v>
      </c>
      <c r="H33" s="55">
        <v>135.9</v>
      </c>
      <c r="I33" s="54">
        <f t="shared" si="0"/>
        <v>80.9</v>
      </c>
      <c r="J33" s="99">
        <f t="shared" si="4"/>
        <v>247.09090909090912</v>
      </c>
      <c r="K33" s="101">
        <f t="shared" si="1"/>
        <v>-62.099999999999994</v>
      </c>
      <c r="L33" s="104">
        <f t="shared" si="2"/>
        <v>68.63636363636364</v>
      </c>
      <c r="M33" s="101">
        <v>350.4</v>
      </c>
    </row>
    <row r="34" spans="1:13" ht="69.75" customHeight="1">
      <c r="A34" s="122"/>
      <c r="B34" s="116"/>
      <c r="C34" s="91" t="s">
        <v>176</v>
      </c>
      <c r="D34" s="89" t="s">
        <v>187</v>
      </c>
      <c r="E34" s="55"/>
      <c r="F34" s="55"/>
      <c r="G34" s="55"/>
      <c r="H34" s="55">
        <v>103.9</v>
      </c>
      <c r="I34" s="54">
        <f t="shared" si="0"/>
        <v>103.9</v>
      </c>
      <c r="J34" s="99"/>
      <c r="K34" s="101">
        <f t="shared" si="1"/>
        <v>103.9</v>
      </c>
      <c r="L34" s="104"/>
      <c r="M34" s="101">
        <v>105</v>
      </c>
    </row>
    <row r="35" spans="1:13" ht="15.75">
      <c r="A35" s="122"/>
      <c r="B35" s="116"/>
      <c r="C35" s="92" t="s">
        <v>77</v>
      </c>
      <c r="D35" s="23" t="s">
        <v>78</v>
      </c>
      <c r="E35" s="59">
        <v>52</v>
      </c>
      <c r="F35" s="55">
        <v>80</v>
      </c>
      <c r="G35" s="55">
        <v>40.7</v>
      </c>
      <c r="H35" s="55">
        <f>69.2+915.5</f>
        <v>984.7</v>
      </c>
      <c r="I35" s="54">
        <f t="shared" si="0"/>
        <v>944</v>
      </c>
      <c r="J35" s="99">
        <f t="shared" si="4"/>
        <v>2419.410319410319</v>
      </c>
      <c r="K35" s="101">
        <f t="shared" si="1"/>
        <v>904.7</v>
      </c>
      <c r="L35" s="104">
        <f t="shared" si="2"/>
        <v>1230.875</v>
      </c>
      <c r="M35" s="101">
        <f>80+1500</f>
        <v>1580</v>
      </c>
    </row>
    <row r="36" spans="1:13" s="16" customFormat="1" ht="15.75">
      <c r="A36" s="144"/>
      <c r="B36" s="144"/>
      <c r="C36" s="42"/>
      <c r="D36" s="26" t="s">
        <v>21</v>
      </c>
      <c r="E36" s="57">
        <f>SUM(E33:E35)</f>
        <v>237</v>
      </c>
      <c r="F36" s="57">
        <f>SUM(F33:F35)</f>
        <v>278</v>
      </c>
      <c r="G36" s="57">
        <f>SUM(G33:G35)</f>
        <v>95.7</v>
      </c>
      <c r="H36" s="57">
        <f>SUM(H33:H35)</f>
        <v>1224.5</v>
      </c>
      <c r="I36" s="85">
        <f t="shared" si="0"/>
        <v>1128.8</v>
      </c>
      <c r="J36" s="100">
        <f t="shared" si="4"/>
        <v>1279.519331243469</v>
      </c>
      <c r="K36" s="102">
        <f t="shared" si="1"/>
        <v>946.5</v>
      </c>
      <c r="L36" s="105">
        <f t="shared" si="2"/>
        <v>440.4676258992806</v>
      </c>
      <c r="M36" s="102">
        <f>SUM(M33:M35)</f>
        <v>2035.4</v>
      </c>
    </row>
    <row r="37" spans="1:13" ht="15.75">
      <c r="A37" s="114" t="s">
        <v>62</v>
      </c>
      <c r="B37" s="116" t="s">
        <v>63</v>
      </c>
      <c r="C37" s="4" t="s">
        <v>64</v>
      </c>
      <c r="D37" s="23" t="s">
        <v>65</v>
      </c>
      <c r="E37" s="59">
        <v>9853</v>
      </c>
      <c r="F37" s="55">
        <v>18726.9</v>
      </c>
      <c r="G37" s="55">
        <v>10150</v>
      </c>
      <c r="H37" s="55">
        <v>10749.3</v>
      </c>
      <c r="I37" s="54">
        <f t="shared" si="0"/>
        <v>599.2999999999993</v>
      </c>
      <c r="J37" s="99">
        <f t="shared" si="4"/>
        <v>105.90443349753693</v>
      </c>
      <c r="K37" s="101">
        <f t="shared" si="1"/>
        <v>-7977.600000000002</v>
      </c>
      <c r="L37" s="104">
        <f t="shared" si="2"/>
        <v>57.40031719077903</v>
      </c>
      <c r="M37" s="101">
        <v>18726.9</v>
      </c>
    </row>
    <row r="38" spans="1:13" ht="15.75">
      <c r="A38" s="114"/>
      <c r="B38" s="116"/>
      <c r="C38" s="4" t="s">
        <v>77</v>
      </c>
      <c r="D38" s="23" t="s">
        <v>78</v>
      </c>
      <c r="E38" s="59">
        <v>2252.2</v>
      </c>
      <c r="F38" s="55">
        <v>825</v>
      </c>
      <c r="G38" s="55">
        <v>222.9</v>
      </c>
      <c r="H38" s="55">
        <v>4654</v>
      </c>
      <c r="I38" s="54">
        <f t="shared" si="0"/>
        <v>4431.1</v>
      </c>
      <c r="J38" s="99">
        <f t="shared" si="4"/>
        <v>2087.9318079856434</v>
      </c>
      <c r="K38" s="101">
        <f t="shared" si="1"/>
        <v>3829</v>
      </c>
      <c r="L38" s="104">
        <f t="shared" si="2"/>
        <v>564.1212121212121</v>
      </c>
      <c r="M38" s="101">
        <v>6262.6</v>
      </c>
    </row>
    <row r="39" spans="1:13" s="16" customFormat="1" ht="15.75">
      <c r="A39" s="114"/>
      <c r="B39" s="115"/>
      <c r="C39" s="15"/>
      <c r="D39" s="26" t="s">
        <v>21</v>
      </c>
      <c r="E39" s="57">
        <f>SUM(E37:E38)</f>
        <v>12105.2</v>
      </c>
      <c r="F39" s="57">
        <f>SUM(F37:F38)</f>
        <v>19551.9</v>
      </c>
      <c r="G39" s="57">
        <f>SUM(G37:G38)</f>
        <v>10372.9</v>
      </c>
      <c r="H39" s="57">
        <f>SUM(H37:H38)</f>
        <v>15403.3</v>
      </c>
      <c r="I39" s="85">
        <f t="shared" si="0"/>
        <v>5030.4</v>
      </c>
      <c r="J39" s="100">
        <f t="shared" si="4"/>
        <v>148.49559910921727</v>
      </c>
      <c r="K39" s="102">
        <f t="shared" si="1"/>
        <v>-4148.600000000002</v>
      </c>
      <c r="L39" s="105">
        <f t="shared" si="2"/>
        <v>78.78160178806151</v>
      </c>
      <c r="M39" s="106">
        <f>SUM(M37:M38)</f>
        <v>24989.5</v>
      </c>
    </row>
    <row r="40" spans="1:13" ht="31.5">
      <c r="A40" s="143" t="s">
        <v>202</v>
      </c>
      <c r="B40" s="145" t="s">
        <v>69</v>
      </c>
      <c r="C40" s="4" t="s">
        <v>114</v>
      </c>
      <c r="D40" s="25" t="s">
        <v>119</v>
      </c>
      <c r="E40" s="55">
        <v>37.2</v>
      </c>
      <c r="F40" s="55"/>
      <c r="G40" s="55"/>
      <c r="H40" s="55">
        <v>0.5</v>
      </c>
      <c r="I40" s="54">
        <f t="shared" si="0"/>
        <v>0.5</v>
      </c>
      <c r="J40" s="100"/>
      <c r="K40" s="101">
        <f t="shared" si="1"/>
        <v>0.5</v>
      </c>
      <c r="L40" s="104"/>
      <c r="M40" s="101">
        <v>0.5</v>
      </c>
    </row>
    <row r="41" spans="1:13" ht="15.75">
      <c r="A41" s="150"/>
      <c r="B41" s="150"/>
      <c r="C41" s="4" t="s">
        <v>77</v>
      </c>
      <c r="D41" s="23" t="s">
        <v>78</v>
      </c>
      <c r="E41" s="55">
        <v>1364</v>
      </c>
      <c r="F41" s="55">
        <v>3000</v>
      </c>
      <c r="G41" s="55">
        <v>1300</v>
      </c>
      <c r="H41" s="55">
        <v>1669.2</v>
      </c>
      <c r="I41" s="54">
        <f t="shared" si="0"/>
        <v>369.20000000000005</v>
      </c>
      <c r="J41" s="99">
        <f>H41/G41*100</f>
        <v>128.4</v>
      </c>
      <c r="K41" s="101">
        <f t="shared" si="1"/>
        <v>-1330.8</v>
      </c>
      <c r="L41" s="104">
        <f t="shared" si="2"/>
        <v>55.64</v>
      </c>
      <c r="M41" s="101">
        <v>3042.5</v>
      </c>
    </row>
    <row r="42" spans="1:13" ht="15.75">
      <c r="A42" s="150"/>
      <c r="B42" s="150"/>
      <c r="C42" s="4" t="s">
        <v>81</v>
      </c>
      <c r="D42" s="23" t="s">
        <v>82</v>
      </c>
      <c r="E42" s="55">
        <v>1015.6</v>
      </c>
      <c r="F42" s="55"/>
      <c r="G42" s="55"/>
      <c r="H42" s="55">
        <v>2493.1</v>
      </c>
      <c r="I42" s="54">
        <f t="shared" si="0"/>
        <v>2493.1</v>
      </c>
      <c r="J42" s="99"/>
      <c r="K42" s="101">
        <f t="shared" si="1"/>
        <v>2493.1</v>
      </c>
      <c r="L42" s="104"/>
      <c r="M42" s="101"/>
    </row>
    <row r="43" spans="1:13" ht="15.75">
      <c r="A43" s="150"/>
      <c r="B43" s="150"/>
      <c r="C43" s="4" t="s">
        <v>79</v>
      </c>
      <c r="D43" s="23" t="s">
        <v>117</v>
      </c>
      <c r="E43" s="55">
        <v>-10.1</v>
      </c>
      <c r="F43" s="55"/>
      <c r="G43" s="55"/>
      <c r="H43" s="55"/>
      <c r="I43" s="54">
        <f t="shared" si="0"/>
        <v>0</v>
      </c>
      <c r="J43" s="99"/>
      <c r="K43" s="101">
        <f t="shared" si="1"/>
        <v>0</v>
      </c>
      <c r="L43" s="104"/>
      <c r="M43" s="101"/>
    </row>
    <row r="44" spans="1:13" ht="15.75">
      <c r="A44" s="150"/>
      <c r="B44" s="150"/>
      <c r="C44" s="4" t="s">
        <v>74</v>
      </c>
      <c r="D44" s="23" t="s">
        <v>75</v>
      </c>
      <c r="E44" s="55"/>
      <c r="F44" s="55"/>
      <c r="G44" s="55"/>
      <c r="H44" s="55"/>
      <c r="I44" s="54">
        <f t="shared" si="0"/>
        <v>0</v>
      </c>
      <c r="J44" s="99"/>
      <c r="K44" s="101">
        <f t="shared" si="1"/>
        <v>0</v>
      </c>
      <c r="L44" s="104"/>
      <c r="M44" s="101"/>
    </row>
    <row r="45" spans="1:13" ht="31.5">
      <c r="A45" s="150"/>
      <c r="B45" s="150"/>
      <c r="C45" s="4" t="s">
        <v>86</v>
      </c>
      <c r="D45" s="23" t="s">
        <v>150</v>
      </c>
      <c r="E45" s="55">
        <v>50691.2</v>
      </c>
      <c r="F45" s="55">
        <v>85248</v>
      </c>
      <c r="G45" s="55">
        <v>41639.1</v>
      </c>
      <c r="H45" s="55">
        <v>41639.1</v>
      </c>
      <c r="I45" s="54">
        <f t="shared" si="0"/>
        <v>0</v>
      </c>
      <c r="J45" s="99">
        <f>H45/G45*100</f>
        <v>100</v>
      </c>
      <c r="K45" s="101">
        <f t="shared" si="1"/>
        <v>-43608.9</v>
      </c>
      <c r="L45" s="104">
        <f t="shared" si="2"/>
        <v>48.84466497747748</v>
      </c>
      <c r="M45" s="101">
        <v>85248</v>
      </c>
    </row>
    <row r="46" spans="1:14" ht="15.75">
      <c r="A46" s="150"/>
      <c r="B46" s="150"/>
      <c r="C46" s="4" t="s">
        <v>96</v>
      </c>
      <c r="D46" s="64" t="s">
        <v>141</v>
      </c>
      <c r="E46" s="55"/>
      <c r="F46" s="55">
        <v>100490</v>
      </c>
      <c r="G46" s="55">
        <v>100490</v>
      </c>
      <c r="H46" s="55">
        <v>100490</v>
      </c>
      <c r="I46" s="54">
        <f t="shared" si="0"/>
        <v>0</v>
      </c>
      <c r="J46" s="99">
        <f>H46/G46*100</f>
        <v>100</v>
      </c>
      <c r="K46" s="101">
        <f t="shared" si="1"/>
        <v>0</v>
      </c>
      <c r="L46" s="104">
        <f t="shared" si="2"/>
        <v>100</v>
      </c>
      <c r="M46" s="101">
        <v>100490</v>
      </c>
      <c r="N46" s="52"/>
    </row>
    <row r="47" spans="1:14" s="16" customFormat="1" ht="15.75">
      <c r="A47" s="151"/>
      <c r="B47" s="151"/>
      <c r="C47" s="22"/>
      <c r="D47" s="26" t="s">
        <v>21</v>
      </c>
      <c r="E47" s="57">
        <f>SUM(E40:E46)</f>
        <v>53097.899999999994</v>
      </c>
      <c r="F47" s="57">
        <f>SUM(F40:F46)</f>
        <v>188738</v>
      </c>
      <c r="G47" s="57">
        <f>SUM(G40:G46)</f>
        <v>143429.1</v>
      </c>
      <c r="H47" s="57">
        <f>SUM(H40:H46)</f>
        <v>146291.9</v>
      </c>
      <c r="I47" s="85">
        <f t="shared" si="0"/>
        <v>2862.7999999999884</v>
      </c>
      <c r="J47" s="100">
        <f>H47/G47*100</f>
        <v>101.99596873995583</v>
      </c>
      <c r="K47" s="102">
        <f t="shared" si="1"/>
        <v>-42446.100000000006</v>
      </c>
      <c r="L47" s="105">
        <f t="shared" si="2"/>
        <v>77.51057020843709</v>
      </c>
      <c r="M47" s="106">
        <f>SUM(M40:M46)</f>
        <v>188781</v>
      </c>
      <c r="N47" s="86"/>
    </row>
    <row r="48" spans="1:14" ht="63">
      <c r="A48" s="114" t="s">
        <v>55</v>
      </c>
      <c r="B48" s="145" t="s">
        <v>167</v>
      </c>
      <c r="C48" s="63" t="s">
        <v>132</v>
      </c>
      <c r="D48" s="65" t="s">
        <v>161</v>
      </c>
      <c r="E48" s="55">
        <v>394424.3</v>
      </c>
      <c r="F48" s="55">
        <v>461956</v>
      </c>
      <c r="G48" s="59">
        <v>323624.8</v>
      </c>
      <c r="H48" s="59">
        <v>303409.9</v>
      </c>
      <c r="I48" s="54">
        <f t="shared" si="0"/>
        <v>-20214.899999999965</v>
      </c>
      <c r="J48" s="99">
        <f>H48/G48*100</f>
        <v>93.75359984772491</v>
      </c>
      <c r="K48" s="101">
        <f t="shared" si="1"/>
        <v>-158546.09999999998</v>
      </c>
      <c r="L48" s="104">
        <f t="shared" si="2"/>
        <v>65.67939370849172</v>
      </c>
      <c r="M48" s="55">
        <v>461956</v>
      </c>
      <c r="N48" s="87"/>
    </row>
    <row r="49" spans="1:14" ht="47.25">
      <c r="A49" s="114"/>
      <c r="B49" s="146"/>
      <c r="C49" s="63" t="s">
        <v>134</v>
      </c>
      <c r="D49" s="64" t="s">
        <v>135</v>
      </c>
      <c r="E49" s="59">
        <v>70516.2</v>
      </c>
      <c r="F49" s="59">
        <v>283980</v>
      </c>
      <c r="G49" s="59">
        <v>142214.4</v>
      </c>
      <c r="H49" s="59">
        <v>55826.3</v>
      </c>
      <c r="I49" s="54">
        <f t="shared" si="0"/>
        <v>-86388.09999999999</v>
      </c>
      <c r="J49" s="99">
        <f>H49/G49*100</f>
        <v>39.25502621394177</v>
      </c>
      <c r="K49" s="101">
        <f t="shared" si="1"/>
        <v>-228153.7</v>
      </c>
      <c r="L49" s="104">
        <f t="shared" si="2"/>
        <v>19.65853229100641</v>
      </c>
      <c r="M49" s="59">
        <v>283980</v>
      </c>
      <c r="N49" s="87"/>
    </row>
    <row r="50" spans="1:14" ht="31.5">
      <c r="A50" s="114"/>
      <c r="B50" s="146"/>
      <c r="C50" s="63" t="s">
        <v>146</v>
      </c>
      <c r="D50" s="64" t="s">
        <v>160</v>
      </c>
      <c r="E50" s="59">
        <v>4354.7</v>
      </c>
      <c r="F50" s="59"/>
      <c r="G50" s="59"/>
      <c r="H50" s="59"/>
      <c r="I50" s="54">
        <f t="shared" si="0"/>
        <v>0</v>
      </c>
      <c r="J50" s="99"/>
      <c r="K50" s="101">
        <f t="shared" si="1"/>
        <v>0</v>
      </c>
      <c r="L50" s="104"/>
      <c r="M50" s="59"/>
      <c r="N50" s="87"/>
    </row>
    <row r="51" spans="1:14" ht="15.75">
      <c r="A51" s="114"/>
      <c r="B51" s="146"/>
      <c r="C51" s="4" t="s">
        <v>81</v>
      </c>
      <c r="D51" s="23" t="s">
        <v>82</v>
      </c>
      <c r="E51" s="59">
        <v>3</v>
      </c>
      <c r="F51" s="59"/>
      <c r="G51" s="59"/>
      <c r="H51" s="59">
        <v>0.3</v>
      </c>
      <c r="I51" s="54">
        <f t="shared" si="0"/>
        <v>0.3</v>
      </c>
      <c r="J51" s="99"/>
      <c r="K51" s="101">
        <f t="shared" si="1"/>
        <v>0.3</v>
      </c>
      <c r="L51" s="104"/>
      <c r="M51" s="59"/>
      <c r="N51" s="87"/>
    </row>
    <row r="52" spans="1:14" ht="15.75">
      <c r="A52" s="114"/>
      <c r="B52" s="146"/>
      <c r="C52" s="4" t="s">
        <v>57</v>
      </c>
      <c r="D52" s="23" t="s">
        <v>58</v>
      </c>
      <c r="E52" s="59">
        <v>6532.4</v>
      </c>
      <c r="F52" s="59"/>
      <c r="G52" s="55"/>
      <c r="H52" s="55">
        <v>-168.2</v>
      </c>
      <c r="I52" s="54">
        <f t="shared" si="0"/>
        <v>-168.2</v>
      </c>
      <c r="J52" s="99"/>
      <c r="K52" s="101">
        <f t="shared" si="1"/>
        <v>-168.2</v>
      </c>
      <c r="L52" s="104"/>
      <c r="M52" s="59">
        <v>-168.2</v>
      </c>
      <c r="N52" s="21"/>
    </row>
    <row r="53" spans="1:14" ht="15.75">
      <c r="A53" s="114"/>
      <c r="B53" s="146"/>
      <c r="C53" s="4" t="s">
        <v>83</v>
      </c>
      <c r="D53" s="23" t="s">
        <v>121</v>
      </c>
      <c r="E53" s="59">
        <v>322.2</v>
      </c>
      <c r="F53" s="59">
        <v>4455</v>
      </c>
      <c r="G53" s="55">
        <v>2200</v>
      </c>
      <c r="H53" s="55">
        <v>2092.8</v>
      </c>
      <c r="I53" s="54">
        <f t="shared" si="0"/>
        <v>-107.19999999999982</v>
      </c>
      <c r="J53" s="99">
        <f>H53/G53*100</f>
        <v>95.12727272727274</v>
      </c>
      <c r="K53" s="101">
        <f t="shared" si="1"/>
        <v>-2362.2</v>
      </c>
      <c r="L53" s="104">
        <f t="shared" si="2"/>
        <v>46.97643097643098</v>
      </c>
      <c r="M53" s="59">
        <v>4455</v>
      </c>
      <c r="N53" s="21"/>
    </row>
    <row r="54" spans="1:14" s="16" customFormat="1" ht="15.75">
      <c r="A54" s="115"/>
      <c r="B54" s="147"/>
      <c r="C54" s="32"/>
      <c r="D54" s="26" t="s">
        <v>21</v>
      </c>
      <c r="E54" s="57">
        <f>SUM(E48:E48,E49:E53)</f>
        <v>476152.80000000005</v>
      </c>
      <c r="F54" s="57">
        <f>SUM(F48:F48,F49:F53)</f>
        <v>750391</v>
      </c>
      <c r="G54" s="57">
        <f>SUM(G48:G48,G49:G53)</f>
        <v>468039.19999999995</v>
      </c>
      <c r="H54" s="57">
        <f>SUM(H48:H48,H49:H53)</f>
        <v>361161.1</v>
      </c>
      <c r="I54" s="85">
        <f t="shared" si="0"/>
        <v>-106878.09999999998</v>
      </c>
      <c r="J54" s="100">
        <f>H54/G54*100</f>
        <v>77.16471184464892</v>
      </c>
      <c r="K54" s="102">
        <f t="shared" si="1"/>
        <v>-389229.9</v>
      </c>
      <c r="L54" s="105">
        <f t="shared" si="2"/>
        <v>48.129721705084414</v>
      </c>
      <c r="M54" s="106">
        <f>SUM(M48:M53)</f>
        <v>750222.8</v>
      </c>
      <c r="N54" s="86"/>
    </row>
    <row r="55" spans="1:14" ht="31.5">
      <c r="A55" s="122" t="s">
        <v>97</v>
      </c>
      <c r="B55" s="116" t="s">
        <v>168</v>
      </c>
      <c r="C55" s="4" t="s">
        <v>114</v>
      </c>
      <c r="D55" s="25" t="s">
        <v>119</v>
      </c>
      <c r="E55" s="59"/>
      <c r="F55" s="55"/>
      <c r="G55" s="55"/>
      <c r="H55" s="55">
        <v>1.5</v>
      </c>
      <c r="I55" s="54">
        <f t="shared" si="0"/>
        <v>1.5</v>
      </c>
      <c r="J55" s="99"/>
      <c r="K55" s="101">
        <f t="shared" si="1"/>
        <v>1.5</v>
      </c>
      <c r="L55" s="104"/>
      <c r="M55" s="101">
        <v>1.5</v>
      </c>
      <c r="N55" s="52"/>
    </row>
    <row r="56" spans="1:13" ht="15.75">
      <c r="A56" s="119"/>
      <c r="B56" s="144"/>
      <c r="C56" s="4" t="s">
        <v>77</v>
      </c>
      <c r="D56" s="23" t="s">
        <v>78</v>
      </c>
      <c r="E56" s="59">
        <v>4.3</v>
      </c>
      <c r="F56" s="55"/>
      <c r="G56" s="55"/>
      <c r="H56" s="55">
        <v>18.4</v>
      </c>
      <c r="I56" s="54">
        <f t="shared" si="0"/>
        <v>18.4</v>
      </c>
      <c r="J56" s="99"/>
      <c r="K56" s="101">
        <f t="shared" si="1"/>
        <v>18.4</v>
      </c>
      <c r="L56" s="104"/>
      <c r="M56" s="101">
        <v>18.4</v>
      </c>
    </row>
    <row r="57" spans="1:13" ht="15.75" customHeight="1">
      <c r="A57" s="119"/>
      <c r="B57" s="144"/>
      <c r="C57" s="4" t="s">
        <v>81</v>
      </c>
      <c r="D57" s="23" t="s">
        <v>82</v>
      </c>
      <c r="E57" s="59">
        <v>53.9</v>
      </c>
      <c r="F57" s="55"/>
      <c r="G57" s="55"/>
      <c r="H57" s="55"/>
      <c r="I57" s="54">
        <f t="shared" si="0"/>
        <v>0</v>
      </c>
      <c r="J57" s="99"/>
      <c r="K57" s="101">
        <f t="shared" si="1"/>
        <v>0</v>
      </c>
      <c r="L57" s="104"/>
      <c r="M57" s="101"/>
    </row>
    <row r="58" spans="1:13" ht="15.75">
      <c r="A58" s="119"/>
      <c r="B58" s="144"/>
      <c r="C58" s="4" t="s">
        <v>83</v>
      </c>
      <c r="D58" s="23" t="s">
        <v>121</v>
      </c>
      <c r="E58" s="59">
        <v>35.9</v>
      </c>
      <c r="F58" s="55">
        <v>500</v>
      </c>
      <c r="G58" s="55">
        <v>200</v>
      </c>
      <c r="H58" s="55">
        <v>29.8</v>
      </c>
      <c r="I58" s="54">
        <f t="shared" si="0"/>
        <v>-170.2</v>
      </c>
      <c r="J58" s="99">
        <f>H58/G58*100</f>
        <v>14.899999999999999</v>
      </c>
      <c r="K58" s="101">
        <f t="shared" si="1"/>
        <v>-470.2</v>
      </c>
      <c r="L58" s="104">
        <f t="shared" si="2"/>
        <v>5.96</v>
      </c>
      <c r="M58" s="101">
        <v>500</v>
      </c>
    </row>
    <row r="59" spans="1:13" s="16" customFormat="1" ht="15.75">
      <c r="A59" s="119"/>
      <c r="B59" s="144"/>
      <c r="C59" s="42"/>
      <c r="D59" s="26" t="s">
        <v>21</v>
      </c>
      <c r="E59" s="57">
        <f>SUM(E55:E58)</f>
        <v>94.1</v>
      </c>
      <c r="F59" s="57">
        <f>SUM(F55:F58)</f>
        <v>500</v>
      </c>
      <c r="G59" s="57">
        <f>SUM(G55:G58)</f>
        <v>200</v>
      </c>
      <c r="H59" s="57">
        <f>SUM(H55:H58)</f>
        <v>49.7</v>
      </c>
      <c r="I59" s="85">
        <f t="shared" si="0"/>
        <v>-150.3</v>
      </c>
      <c r="J59" s="100">
        <f>H59/G59*100</f>
        <v>24.85</v>
      </c>
      <c r="K59" s="102">
        <f t="shared" si="1"/>
        <v>-450.3</v>
      </c>
      <c r="L59" s="105">
        <f t="shared" si="2"/>
        <v>9.94</v>
      </c>
      <c r="M59" s="106">
        <f>SUM(M55:M58)</f>
        <v>519.9</v>
      </c>
    </row>
    <row r="60" spans="1:13" ht="31.5">
      <c r="A60" s="148" t="s">
        <v>88</v>
      </c>
      <c r="B60" s="116" t="s">
        <v>169</v>
      </c>
      <c r="C60" s="4" t="s">
        <v>114</v>
      </c>
      <c r="D60" s="25" t="s">
        <v>119</v>
      </c>
      <c r="E60" s="59">
        <v>385.9</v>
      </c>
      <c r="F60" s="59"/>
      <c r="G60" s="59"/>
      <c r="H60" s="59">
        <v>132.4</v>
      </c>
      <c r="I60" s="54">
        <f t="shared" si="0"/>
        <v>132.4</v>
      </c>
      <c r="J60" s="99"/>
      <c r="K60" s="101">
        <f t="shared" si="1"/>
        <v>132.4</v>
      </c>
      <c r="L60" s="104"/>
      <c r="M60" s="101">
        <v>132.4</v>
      </c>
    </row>
    <row r="61" spans="1:13" ht="47.25">
      <c r="A61" s="149"/>
      <c r="B61" s="116"/>
      <c r="C61" s="4" t="s">
        <v>48</v>
      </c>
      <c r="D61" s="23" t="s">
        <v>158</v>
      </c>
      <c r="E61" s="59">
        <v>39</v>
      </c>
      <c r="F61" s="59"/>
      <c r="G61" s="59"/>
      <c r="H61" s="59">
        <v>18.8</v>
      </c>
      <c r="I61" s="54">
        <f t="shared" si="0"/>
        <v>18.8</v>
      </c>
      <c r="J61" s="99"/>
      <c r="K61" s="101">
        <f t="shared" si="1"/>
        <v>18.8</v>
      </c>
      <c r="L61" s="104"/>
      <c r="M61" s="101">
        <v>18.8</v>
      </c>
    </row>
    <row r="62" spans="1:13" ht="15.75">
      <c r="A62" s="149"/>
      <c r="B62" s="116"/>
      <c r="C62" s="4" t="s">
        <v>77</v>
      </c>
      <c r="D62" s="23" t="s">
        <v>78</v>
      </c>
      <c r="E62" s="59">
        <v>12.6</v>
      </c>
      <c r="F62" s="59"/>
      <c r="G62" s="59"/>
      <c r="H62" s="59">
        <v>405.6</v>
      </c>
      <c r="I62" s="54">
        <f t="shared" si="0"/>
        <v>405.6</v>
      </c>
      <c r="J62" s="99"/>
      <c r="K62" s="101">
        <f t="shared" si="1"/>
        <v>405.6</v>
      </c>
      <c r="L62" s="104"/>
      <c r="M62" s="101">
        <v>405.6</v>
      </c>
    </row>
    <row r="63" spans="1:13" ht="15.75">
      <c r="A63" s="149"/>
      <c r="B63" s="116"/>
      <c r="C63" s="4" t="s">
        <v>81</v>
      </c>
      <c r="D63" s="23" t="s">
        <v>82</v>
      </c>
      <c r="E63" s="59">
        <v>356</v>
      </c>
      <c r="F63" s="59"/>
      <c r="G63" s="59"/>
      <c r="H63" s="59">
        <v>-2468.6</v>
      </c>
      <c r="I63" s="54">
        <f t="shared" si="0"/>
        <v>-2468.6</v>
      </c>
      <c r="J63" s="99"/>
      <c r="K63" s="101">
        <f t="shared" si="1"/>
        <v>-2468.6</v>
      </c>
      <c r="L63" s="104"/>
      <c r="M63" s="101"/>
    </row>
    <row r="64" spans="1:13" ht="15.75" customHeight="1">
      <c r="A64" s="149"/>
      <c r="B64" s="116"/>
      <c r="C64" s="4" t="s">
        <v>79</v>
      </c>
      <c r="D64" s="23" t="s">
        <v>117</v>
      </c>
      <c r="E64" s="59">
        <v>104</v>
      </c>
      <c r="F64" s="59"/>
      <c r="G64" s="59"/>
      <c r="H64" s="59"/>
      <c r="I64" s="54">
        <f t="shared" si="0"/>
        <v>0</v>
      </c>
      <c r="J64" s="99"/>
      <c r="K64" s="101">
        <f aca="true" t="shared" si="5" ref="K64:K120">H64-F64</f>
        <v>0</v>
      </c>
      <c r="L64" s="104"/>
      <c r="M64" s="101"/>
    </row>
    <row r="65" spans="1:13" ht="15.75">
      <c r="A65" s="149"/>
      <c r="B65" s="116"/>
      <c r="C65" s="4" t="s">
        <v>74</v>
      </c>
      <c r="D65" s="23" t="s">
        <v>75</v>
      </c>
      <c r="E65" s="59"/>
      <c r="F65" s="59">
        <v>-2172.5</v>
      </c>
      <c r="G65" s="59">
        <v>-2172.5</v>
      </c>
      <c r="H65" s="59">
        <v>-2172.5</v>
      </c>
      <c r="I65" s="54">
        <f t="shared" si="0"/>
        <v>0</v>
      </c>
      <c r="J65" s="99">
        <f>H65/G65*100</f>
        <v>100</v>
      </c>
      <c r="K65" s="101">
        <f t="shared" si="5"/>
        <v>0</v>
      </c>
      <c r="L65" s="104">
        <f aca="true" t="shared" si="6" ref="L65:L118">H65/F65*100</f>
        <v>100</v>
      </c>
      <c r="M65" s="101"/>
    </row>
    <row r="66" spans="1:13" ht="15.75">
      <c r="A66" s="149"/>
      <c r="B66" s="116"/>
      <c r="C66" s="4" t="s">
        <v>87</v>
      </c>
      <c r="D66" s="23" t="s">
        <v>152</v>
      </c>
      <c r="E66" s="59"/>
      <c r="F66" s="59">
        <v>436481.4</v>
      </c>
      <c r="G66" s="59">
        <v>155309.1</v>
      </c>
      <c r="H66" s="59">
        <v>108718.3</v>
      </c>
      <c r="I66" s="54">
        <f aca="true" t="shared" si="7" ref="I66:I92">H66-G66</f>
        <v>-46590.8</v>
      </c>
      <c r="J66" s="99">
        <f>H66/G66*100</f>
        <v>70.00124268313962</v>
      </c>
      <c r="K66" s="101">
        <f t="shared" si="5"/>
        <v>-327763.10000000003</v>
      </c>
      <c r="L66" s="104">
        <f t="shared" si="6"/>
        <v>24.90788840028464</v>
      </c>
      <c r="M66" s="59">
        <v>436481.4</v>
      </c>
    </row>
    <row r="67" spans="1:13" ht="15.75">
      <c r="A67" s="149"/>
      <c r="B67" s="116"/>
      <c r="C67" s="4" t="s">
        <v>142</v>
      </c>
      <c r="D67" s="23" t="s">
        <v>153</v>
      </c>
      <c r="E67" s="59"/>
      <c r="F67" s="59">
        <v>16573.9</v>
      </c>
      <c r="G67" s="59">
        <v>7610.9</v>
      </c>
      <c r="H67" s="59">
        <v>7337.8</v>
      </c>
      <c r="I67" s="54">
        <f t="shared" si="7"/>
        <v>-273.09999999999945</v>
      </c>
      <c r="J67" s="99">
        <f>H67/G67*100</f>
        <v>96.41172528873064</v>
      </c>
      <c r="K67" s="101">
        <f t="shared" si="5"/>
        <v>-9236.100000000002</v>
      </c>
      <c r="L67" s="104">
        <f t="shared" si="6"/>
        <v>44.27322476906461</v>
      </c>
      <c r="M67" s="59">
        <v>16573.9</v>
      </c>
    </row>
    <row r="68" spans="1:13" ht="15.75">
      <c r="A68" s="149"/>
      <c r="B68" s="116"/>
      <c r="C68" s="4" t="s">
        <v>83</v>
      </c>
      <c r="D68" s="23" t="s">
        <v>121</v>
      </c>
      <c r="E68" s="59">
        <v>209126.8</v>
      </c>
      <c r="F68" s="59">
        <v>468953</v>
      </c>
      <c r="G68" s="59">
        <v>234476.5</v>
      </c>
      <c r="H68" s="59">
        <v>260750.4</v>
      </c>
      <c r="I68" s="54">
        <f t="shared" si="7"/>
        <v>26273.899999999994</v>
      </c>
      <c r="J68" s="99">
        <f>H68/G68*100</f>
        <v>111.20534467206735</v>
      </c>
      <c r="K68" s="101">
        <f t="shared" si="5"/>
        <v>-208202.6</v>
      </c>
      <c r="L68" s="104">
        <f t="shared" si="6"/>
        <v>55.60267233603368</v>
      </c>
      <c r="M68" s="101">
        <v>468953</v>
      </c>
    </row>
    <row r="69" spans="1:13" s="16" customFormat="1" ht="15.75">
      <c r="A69" s="156"/>
      <c r="B69" s="115"/>
      <c r="C69" s="32"/>
      <c r="D69" s="26" t="s">
        <v>21</v>
      </c>
      <c r="E69" s="57">
        <f>SUM(E60:E68)</f>
        <v>210024.3</v>
      </c>
      <c r="F69" s="57">
        <f>SUM(F60:F68)</f>
        <v>919835.8</v>
      </c>
      <c r="G69" s="57">
        <f>SUM(G60:G68)</f>
        <v>395224</v>
      </c>
      <c r="H69" s="57">
        <f>SUM(H60:H68)</f>
        <v>372722.2</v>
      </c>
      <c r="I69" s="85">
        <f t="shared" si="7"/>
        <v>-22501.79999999999</v>
      </c>
      <c r="J69" s="100">
        <f>H69/G69*100</f>
        <v>94.30657045118718</v>
      </c>
      <c r="K69" s="102">
        <f t="shared" si="5"/>
        <v>-547113.6000000001</v>
      </c>
      <c r="L69" s="105">
        <f t="shared" si="6"/>
        <v>40.520514639678076</v>
      </c>
      <c r="M69" s="106">
        <f>SUM(M60:M68)</f>
        <v>922565.1000000001</v>
      </c>
    </row>
    <row r="70" spans="1:14" s="16" customFormat="1" ht="31.5">
      <c r="A70" s="148" t="s">
        <v>99</v>
      </c>
      <c r="B70" s="145" t="s">
        <v>138</v>
      </c>
      <c r="C70" s="4" t="s">
        <v>114</v>
      </c>
      <c r="D70" s="25" t="s">
        <v>119</v>
      </c>
      <c r="E70" s="57"/>
      <c r="F70" s="57"/>
      <c r="G70" s="57"/>
      <c r="H70" s="55">
        <v>125.9</v>
      </c>
      <c r="I70" s="54">
        <f t="shared" si="7"/>
        <v>125.9</v>
      </c>
      <c r="J70" s="99"/>
      <c r="K70" s="101">
        <f t="shared" si="5"/>
        <v>125.9</v>
      </c>
      <c r="L70" s="104"/>
      <c r="M70" s="107">
        <v>125.9</v>
      </c>
      <c r="N70" s="86"/>
    </row>
    <row r="71" spans="1:14" s="16" customFormat="1" ht="47.25">
      <c r="A71" s="149"/>
      <c r="B71" s="152"/>
      <c r="C71" s="4" t="s">
        <v>48</v>
      </c>
      <c r="D71" s="23" t="s">
        <v>158</v>
      </c>
      <c r="E71" s="57"/>
      <c r="F71" s="57"/>
      <c r="G71" s="57"/>
      <c r="H71" s="55">
        <v>26.2</v>
      </c>
      <c r="I71" s="54">
        <f t="shared" si="7"/>
        <v>26.2</v>
      </c>
      <c r="J71" s="99"/>
      <c r="K71" s="101">
        <f t="shared" si="5"/>
        <v>26.2</v>
      </c>
      <c r="L71" s="104"/>
      <c r="M71" s="107">
        <v>26.2</v>
      </c>
      <c r="N71" s="87"/>
    </row>
    <row r="72" spans="1:14" ht="15.75" customHeight="1">
      <c r="A72" s="150"/>
      <c r="B72" s="150"/>
      <c r="C72" s="4" t="s">
        <v>77</v>
      </c>
      <c r="D72" s="23" t="s">
        <v>78</v>
      </c>
      <c r="E72" s="59"/>
      <c r="F72" s="55"/>
      <c r="G72" s="55"/>
      <c r="H72" s="55">
        <v>299</v>
      </c>
      <c r="I72" s="54">
        <f t="shared" si="7"/>
        <v>299</v>
      </c>
      <c r="J72" s="99"/>
      <c r="K72" s="101">
        <f t="shared" si="5"/>
        <v>299</v>
      </c>
      <c r="L72" s="104"/>
      <c r="M72" s="101">
        <v>299</v>
      </c>
      <c r="N72" s="87"/>
    </row>
    <row r="73" spans="1:14" ht="15.75">
      <c r="A73" s="150"/>
      <c r="B73" s="150"/>
      <c r="C73" s="4" t="s">
        <v>81</v>
      </c>
      <c r="D73" s="23" t="s">
        <v>82</v>
      </c>
      <c r="E73" s="59">
        <v>43.3</v>
      </c>
      <c r="F73" s="55"/>
      <c r="G73" s="55"/>
      <c r="H73" s="55">
        <v>-406.5</v>
      </c>
      <c r="I73" s="54">
        <f t="shared" si="7"/>
        <v>-406.5</v>
      </c>
      <c r="J73" s="99"/>
      <c r="K73" s="101">
        <f t="shared" si="5"/>
        <v>-406.5</v>
      </c>
      <c r="L73" s="104"/>
      <c r="M73" s="101"/>
      <c r="N73" s="87"/>
    </row>
    <row r="74" spans="1:14" ht="15.75">
      <c r="A74" s="150"/>
      <c r="B74" s="150"/>
      <c r="C74" s="4" t="s">
        <v>74</v>
      </c>
      <c r="D74" s="23" t="s">
        <v>75</v>
      </c>
      <c r="E74" s="59"/>
      <c r="F74" s="55">
        <v>-1.2</v>
      </c>
      <c r="G74" s="55">
        <v>-1.2</v>
      </c>
      <c r="H74" s="55">
        <v>-1.2</v>
      </c>
      <c r="I74" s="54">
        <f t="shared" si="7"/>
        <v>0</v>
      </c>
      <c r="J74" s="99">
        <f>H74/G74*100</f>
        <v>100</v>
      </c>
      <c r="K74" s="101">
        <f t="shared" si="5"/>
        <v>0</v>
      </c>
      <c r="L74" s="104">
        <f t="shared" si="6"/>
        <v>100</v>
      </c>
      <c r="M74" s="55">
        <v>-1.2</v>
      </c>
      <c r="N74" s="87"/>
    </row>
    <row r="75" spans="1:14" ht="15.75">
      <c r="A75" s="150"/>
      <c r="B75" s="150"/>
      <c r="C75" s="4" t="s">
        <v>87</v>
      </c>
      <c r="D75" s="23" t="s">
        <v>152</v>
      </c>
      <c r="E75" s="59"/>
      <c r="F75" s="55">
        <v>1197</v>
      </c>
      <c r="G75" s="55">
        <v>1197</v>
      </c>
      <c r="H75" s="55"/>
      <c r="I75" s="54">
        <f t="shared" si="7"/>
        <v>-1197</v>
      </c>
      <c r="J75" s="99">
        <f>H75/G75*100</f>
        <v>0</v>
      </c>
      <c r="K75" s="101">
        <f t="shared" si="5"/>
        <v>-1197</v>
      </c>
      <c r="L75" s="104">
        <f t="shared" si="6"/>
        <v>0</v>
      </c>
      <c r="M75" s="55">
        <v>1197</v>
      </c>
      <c r="N75" s="87"/>
    </row>
    <row r="76" spans="1:14" ht="15.75">
      <c r="A76" s="150"/>
      <c r="B76" s="150"/>
      <c r="C76" s="4" t="s">
        <v>83</v>
      </c>
      <c r="D76" s="23" t="s">
        <v>121</v>
      </c>
      <c r="E76" s="59">
        <v>25842.5</v>
      </c>
      <c r="F76" s="55">
        <v>72715.2</v>
      </c>
      <c r="G76" s="55">
        <v>41590.4</v>
      </c>
      <c r="H76" s="55">
        <v>28967.6</v>
      </c>
      <c r="I76" s="54">
        <f t="shared" si="7"/>
        <v>-12622.800000000003</v>
      </c>
      <c r="J76" s="99">
        <f>H76/G76*100</f>
        <v>69.64972686004462</v>
      </c>
      <c r="K76" s="101">
        <f t="shared" si="5"/>
        <v>-43747.6</v>
      </c>
      <c r="L76" s="104">
        <f t="shared" si="6"/>
        <v>39.83706295245011</v>
      </c>
      <c r="M76" s="101">
        <v>61042</v>
      </c>
      <c r="N76" s="87"/>
    </row>
    <row r="77" spans="1:14" s="16" customFormat="1" ht="15.75">
      <c r="A77" s="151"/>
      <c r="B77" s="151"/>
      <c r="C77" s="42"/>
      <c r="D77" s="26" t="s">
        <v>21</v>
      </c>
      <c r="E77" s="57">
        <f>SUM(E70:E76)</f>
        <v>25885.8</v>
      </c>
      <c r="F77" s="57">
        <f>SUM(F70:F76)</f>
        <v>73911</v>
      </c>
      <c r="G77" s="57">
        <f>SUM(G70:G76)</f>
        <v>42786.200000000004</v>
      </c>
      <c r="H77" s="57">
        <f>SUM(H70:H76)</f>
        <v>29011</v>
      </c>
      <c r="I77" s="85">
        <f t="shared" si="7"/>
        <v>-13775.200000000004</v>
      </c>
      <c r="J77" s="100">
        <f>H77/G77*100</f>
        <v>67.80457250234888</v>
      </c>
      <c r="K77" s="102">
        <f t="shared" si="5"/>
        <v>-44900</v>
      </c>
      <c r="L77" s="105">
        <f t="shared" si="6"/>
        <v>39.251261652528044</v>
      </c>
      <c r="M77" s="106">
        <f>SUM(M70:M76)</f>
        <v>62688.9</v>
      </c>
      <c r="N77" s="86"/>
    </row>
    <row r="78" spans="1:14" ht="31.5">
      <c r="A78" s="122" t="s">
        <v>91</v>
      </c>
      <c r="B78" s="116" t="s">
        <v>103</v>
      </c>
      <c r="C78" s="4" t="s">
        <v>114</v>
      </c>
      <c r="D78" s="25" t="s">
        <v>119</v>
      </c>
      <c r="E78" s="59">
        <v>1781.7</v>
      </c>
      <c r="F78" s="59"/>
      <c r="G78" s="59"/>
      <c r="H78" s="59">
        <v>2605.7</v>
      </c>
      <c r="I78" s="54">
        <f t="shared" si="7"/>
        <v>2605.7</v>
      </c>
      <c r="J78" s="99"/>
      <c r="K78" s="101">
        <f t="shared" si="5"/>
        <v>2605.7</v>
      </c>
      <c r="L78" s="104"/>
      <c r="M78" s="101">
        <v>2605.7</v>
      </c>
      <c r="N78" s="52"/>
    </row>
    <row r="79" spans="1:13" ht="15.75">
      <c r="A79" s="122"/>
      <c r="B79" s="116"/>
      <c r="C79" s="4" t="s">
        <v>81</v>
      </c>
      <c r="D79" s="23" t="s">
        <v>82</v>
      </c>
      <c r="E79" s="59">
        <v>168.4</v>
      </c>
      <c r="F79" s="59"/>
      <c r="G79" s="59"/>
      <c r="H79" s="59">
        <v>36.4</v>
      </c>
      <c r="I79" s="54">
        <f t="shared" si="7"/>
        <v>36.4</v>
      </c>
      <c r="J79" s="99"/>
      <c r="K79" s="101">
        <f t="shared" si="5"/>
        <v>36.4</v>
      </c>
      <c r="L79" s="104"/>
      <c r="M79" s="101"/>
    </row>
    <row r="80" spans="1:13" ht="15.75">
      <c r="A80" s="122"/>
      <c r="B80" s="116"/>
      <c r="C80" s="4" t="s">
        <v>74</v>
      </c>
      <c r="D80" s="23" t="s">
        <v>75</v>
      </c>
      <c r="E80" s="59"/>
      <c r="F80" s="59">
        <v>-2252.7</v>
      </c>
      <c r="G80" s="59">
        <v>-2252.7</v>
      </c>
      <c r="H80" s="59">
        <v>-2252.7</v>
      </c>
      <c r="I80" s="54">
        <f t="shared" si="7"/>
        <v>0</v>
      </c>
      <c r="J80" s="99">
        <f>H80/G80*100</f>
        <v>100</v>
      </c>
      <c r="K80" s="101">
        <f t="shared" si="5"/>
        <v>0</v>
      </c>
      <c r="L80" s="104">
        <f t="shared" si="6"/>
        <v>100</v>
      </c>
      <c r="M80" s="59">
        <v>-2252.7</v>
      </c>
    </row>
    <row r="81" spans="1:13" ht="15.75">
      <c r="A81" s="122"/>
      <c r="B81" s="116"/>
      <c r="C81" s="4" t="s">
        <v>87</v>
      </c>
      <c r="D81" s="23" t="s">
        <v>152</v>
      </c>
      <c r="E81" s="59"/>
      <c r="F81" s="59">
        <v>586822.1</v>
      </c>
      <c r="G81" s="59">
        <v>11450</v>
      </c>
      <c r="H81" s="59">
        <v>1197</v>
      </c>
      <c r="I81" s="54">
        <f t="shared" si="7"/>
        <v>-10253</v>
      </c>
      <c r="J81" s="99">
        <f>H81/G81*100</f>
        <v>10.45414847161572</v>
      </c>
      <c r="K81" s="101">
        <f t="shared" si="5"/>
        <v>-585625.1</v>
      </c>
      <c r="L81" s="104">
        <f t="shared" si="6"/>
        <v>0.20398004778620304</v>
      </c>
      <c r="M81" s="59">
        <v>586822.1</v>
      </c>
    </row>
    <row r="82" spans="1:13" ht="15.75">
      <c r="A82" s="122"/>
      <c r="B82" s="116"/>
      <c r="C82" s="4" t="s">
        <v>142</v>
      </c>
      <c r="D82" s="23" t="s">
        <v>153</v>
      </c>
      <c r="E82" s="59"/>
      <c r="F82" s="59">
        <v>1677856.5</v>
      </c>
      <c r="G82" s="59">
        <v>987717.1</v>
      </c>
      <c r="H82" s="59">
        <v>1044254.4</v>
      </c>
      <c r="I82" s="54">
        <f t="shared" si="7"/>
        <v>56537.30000000005</v>
      </c>
      <c r="J82" s="99">
        <f>H82/G82*100</f>
        <v>105.72403778369332</v>
      </c>
      <c r="K82" s="101">
        <f t="shared" si="5"/>
        <v>-633602.1</v>
      </c>
      <c r="L82" s="104">
        <f t="shared" si="6"/>
        <v>62.23740826465195</v>
      </c>
      <c r="M82" s="59">
        <v>1677856.5</v>
      </c>
    </row>
    <row r="83" spans="1:13" ht="15.75">
      <c r="A83" s="122"/>
      <c r="B83" s="116"/>
      <c r="C83" s="4" t="s">
        <v>83</v>
      </c>
      <c r="D83" s="23" t="s">
        <v>121</v>
      </c>
      <c r="E83" s="59">
        <v>248356.1</v>
      </c>
      <c r="F83" s="59">
        <v>540670.1</v>
      </c>
      <c r="G83" s="59">
        <v>273572.5</v>
      </c>
      <c r="H83" s="59">
        <v>285183.4</v>
      </c>
      <c r="I83" s="54">
        <f t="shared" si="7"/>
        <v>11610.900000000023</v>
      </c>
      <c r="J83" s="99">
        <f>H83/G83*100</f>
        <v>104.24417658938674</v>
      </c>
      <c r="K83" s="101">
        <f t="shared" si="5"/>
        <v>-255486.69999999995</v>
      </c>
      <c r="L83" s="104">
        <f t="shared" si="6"/>
        <v>52.74628650631874</v>
      </c>
      <c r="M83" s="101">
        <v>547210</v>
      </c>
    </row>
    <row r="84" spans="1:13" s="16" customFormat="1" ht="15.75">
      <c r="A84" s="122"/>
      <c r="B84" s="116"/>
      <c r="C84" s="42"/>
      <c r="D84" s="26" t="s">
        <v>21</v>
      </c>
      <c r="E84" s="57">
        <f>SUM(E78:E83)</f>
        <v>250306.2</v>
      </c>
      <c r="F84" s="57">
        <f>SUM(F78:F83)</f>
        <v>2803096</v>
      </c>
      <c r="G84" s="57">
        <f>SUM(G78:G83)</f>
        <v>1270486.9</v>
      </c>
      <c r="H84" s="57">
        <f>SUM(H78:H83)</f>
        <v>1331024.2000000002</v>
      </c>
      <c r="I84" s="85">
        <f t="shared" si="7"/>
        <v>60537.30000000028</v>
      </c>
      <c r="J84" s="100">
        <f>H84/G84*100</f>
        <v>104.76488974423903</v>
      </c>
      <c r="K84" s="102">
        <f t="shared" si="5"/>
        <v>-1472071.7999999998</v>
      </c>
      <c r="L84" s="105">
        <f t="shared" si="6"/>
        <v>47.48407475163177</v>
      </c>
      <c r="M84" s="106">
        <f>SUM(M78:M83)</f>
        <v>2812241.6</v>
      </c>
    </row>
    <row r="85" spans="1:13" ht="31.5" customHeight="1">
      <c r="A85" s="114" t="s">
        <v>194</v>
      </c>
      <c r="B85" s="116" t="s">
        <v>195</v>
      </c>
      <c r="C85" s="4" t="s">
        <v>114</v>
      </c>
      <c r="D85" s="25" t="s">
        <v>119</v>
      </c>
      <c r="E85" s="59">
        <v>34.7</v>
      </c>
      <c r="F85" s="55"/>
      <c r="G85" s="55"/>
      <c r="H85" s="55">
        <v>29.6</v>
      </c>
      <c r="I85" s="54">
        <f t="shared" si="7"/>
        <v>29.6</v>
      </c>
      <c r="J85" s="99"/>
      <c r="K85" s="101">
        <f t="shared" si="5"/>
        <v>29.6</v>
      </c>
      <c r="L85" s="104"/>
      <c r="M85" s="101">
        <v>29.6</v>
      </c>
    </row>
    <row r="86" spans="1:13" ht="31.5" customHeight="1">
      <c r="A86" s="114"/>
      <c r="B86" s="116"/>
      <c r="C86" s="4" t="s">
        <v>66</v>
      </c>
      <c r="D86" s="23" t="s">
        <v>67</v>
      </c>
      <c r="E86" s="59">
        <v>665.5</v>
      </c>
      <c r="F86" s="55"/>
      <c r="G86" s="55"/>
      <c r="H86" s="55"/>
      <c r="I86" s="54">
        <f t="shared" si="7"/>
        <v>0</v>
      </c>
      <c r="J86" s="99"/>
      <c r="K86" s="101">
        <f t="shared" si="5"/>
        <v>0</v>
      </c>
      <c r="L86" s="104"/>
      <c r="M86" s="101"/>
    </row>
    <row r="87" spans="1:13" ht="31.5">
      <c r="A87" s="144"/>
      <c r="B87" s="153"/>
      <c r="C87" s="4" t="s">
        <v>182</v>
      </c>
      <c r="D87" s="23" t="s">
        <v>181</v>
      </c>
      <c r="E87" s="59">
        <v>1</v>
      </c>
      <c r="F87" s="55"/>
      <c r="G87" s="55"/>
      <c r="H87" s="55">
        <v>3</v>
      </c>
      <c r="I87" s="54">
        <f t="shared" si="7"/>
        <v>3</v>
      </c>
      <c r="J87" s="99"/>
      <c r="K87" s="101">
        <f t="shared" si="5"/>
        <v>3</v>
      </c>
      <c r="L87" s="104"/>
      <c r="M87" s="101"/>
    </row>
    <row r="88" spans="1:13" ht="15.75">
      <c r="A88" s="144"/>
      <c r="B88" s="153"/>
      <c r="C88" s="4" t="s">
        <v>77</v>
      </c>
      <c r="D88" s="23" t="s">
        <v>78</v>
      </c>
      <c r="E88" s="59">
        <v>508.3</v>
      </c>
      <c r="F88" s="55">
        <f>427+206.7+350+195.3+119+50+220</f>
        <v>1568</v>
      </c>
      <c r="G88" s="55">
        <v>719.9</v>
      </c>
      <c r="H88" s="55">
        <v>1202.1</v>
      </c>
      <c r="I88" s="54">
        <f t="shared" si="7"/>
        <v>482.19999999999993</v>
      </c>
      <c r="J88" s="99">
        <f>H88/G88*100</f>
        <v>166.981525211835</v>
      </c>
      <c r="K88" s="101">
        <f t="shared" si="5"/>
        <v>-365.9000000000001</v>
      </c>
      <c r="L88" s="104">
        <f t="shared" si="6"/>
        <v>76.66454081632652</v>
      </c>
      <c r="M88" s="101">
        <v>1202.1</v>
      </c>
    </row>
    <row r="89" spans="1:13" ht="15.75">
      <c r="A89" s="144"/>
      <c r="B89" s="153"/>
      <c r="C89" s="4" t="s">
        <v>81</v>
      </c>
      <c r="D89" s="23" t="s">
        <v>82</v>
      </c>
      <c r="E89" s="59">
        <v>149.4</v>
      </c>
      <c r="F89" s="55"/>
      <c r="G89" s="55"/>
      <c r="H89" s="55">
        <v>1373.7</v>
      </c>
      <c r="I89" s="54">
        <f t="shared" si="7"/>
        <v>1373.7</v>
      </c>
      <c r="J89" s="99"/>
      <c r="K89" s="101">
        <f t="shared" si="5"/>
        <v>1373.7</v>
      </c>
      <c r="L89" s="104"/>
      <c r="M89" s="101"/>
    </row>
    <row r="90" spans="1:13" ht="15.75">
      <c r="A90" s="144"/>
      <c r="B90" s="153"/>
      <c r="C90" s="4" t="s">
        <v>79</v>
      </c>
      <c r="D90" s="23" t="s">
        <v>117</v>
      </c>
      <c r="E90" s="59">
        <v>5079.4</v>
      </c>
      <c r="F90" s="55"/>
      <c r="G90" s="55"/>
      <c r="H90" s="55">
        <v>8233.1</v>
      </c>
      <c r="I90" s="54">
        <f t="shared" si="7"/>
        <v>8233.1</v>
      </c>
      <c r="J90" s="99"/>
      <c r="K90" s="101">
        <f t="shared" si="5"/>
        <v>8233.1</v>
      </c>
      <c r="L90" s="104"/>
      <c r="M90" s="101">
        <v>8233.1</v>
      </c>
    </row>
    <row r="91" spans="1:13" ht="15.75">
      <c r="A91" s="144"/>
      <c r="B91" s="153"/>
      <c r="C91" s="4" t="s">
        <v>142</v>
      </c>
      <c r="D91" s="23" t="s">
        <v>153</v>
      </c>
      <c r="E91" s="59"/>
      <c r="F91" s="55">
        <f>155594.1</f>
        <v>155594.1</v>
      </c>
      <c r="G91" s="55">
        <v>71113.3</v>
      </c>
      <c r="H91" s="55">
        <f>12865.5</f>
        <v>12865.5</v>
      </c>
      <c r="I91" s="54">
        <f t="shared" si="7"/>
        <v>-58247.8</v>
      </c>
      <c r="J91" s="99">
        <f>H91/G91*100</f>
        <v>18.09155249439978</v>
      </c>
      <c r="K91" s="101">
        <f t="shared" si="5"/>
        <v>-142728.6</v>
      </c>
      <c r="L91" s="104">
        <f t="shared" si="6"/>
        <v>8.268629723106468</v>
      </c>
      <c r="M91" s="55">
        <f>155594.1</f>
        <v>155594.1</v>
      </c>
    </row>
    <row r="92" spans="1:13" s="16" customFormat="1" ht="15.75">
      <c r="A92" s="144"/>
      <c r="B92" s="153"/>
      <c r="C92" s="43"/>
      <c r="D92" s="26" t="s">
        <v>21</v>
      </c>
      <c r="E92" s="60">
        <f>SUM(E85:E91)</f>
        <v>6438.299999999999</v>
      </c>
      <c r="F92" s="60">
        <f>SUM(F85:F91)</f>
        <v>157162.1</v>
      </c>
      <c r="G92" s="60">
        <f>SUM(G85:G91)</f>
        <v>71833.2</v>
      </c>
      <c r="H92" s="60">
        <f>SUM(H85:H91)</f>
        <v>23707</v>
      </c>
      <c r="I92" s="85">
        <f t="shared" si="7"/>
        <v>-48126.2</v>
      </c>
      <c r="J92" s="100">
        <f>H92/G92*100</f>
        <v>33.00284548091968</v>
      </c>
      <c r="K92" s="100">
        <f>I92/H92*100</f>
        <v>-203.0041759817775</v>
      </c>
      <c r="L92" s="100">
        <f>J92/I92*100</f>
        <v>-0.06857563132123394</v>
      </c>
      <c r="M92" s="106">
        <f>SUM(M85:M91)</f>
        <v>165058.9</v>
      </c>
    </row>
    <row r="93" spans="1:13" ht="78.75">
      <c r="A93" s="143" t="s">
        <v>59</v>
      </c>
      <c r="B93" s="145" t="s">
        <v>170</v>
      </c>
      <c r="C93" s="63" t="s">
        <v>128</v>
      </c>
      <c r="D93" s="64" t="s">
        <v>197</v>
      </c>
      <c r="E93" s="59">
        <v>19518.43</v>
      </c>
      <c r="F93" s="55">
        <v>23545.8</v>
      </c>
      <c r="G93" s="55">
        <v>12348.1</v>
      </c>
      <c r="H93" s="55">
        <v>10764.7</v>
      </c>
      <c r="I93" s="54">
        <f aca="true" t="shared" si="8" ref="I93:I122">H93-G93</f>
        <v>-1583.3999999999996</v>
      </c>
      <c r="J93" s="99">
        <f>H93/G93*100</f>
        <v>87.17697459528186</v>
      </c>
      <c r="K93" s="101">
        <f t="shared" si="5"/>
        <v>-12781.099999999999</v>
      </c>
      <c r="L93" s="104">
        <f t="shared" si="6"/>
        <v>45.71813232083854</v>
      </c>
      <c r="M93" s="101">
        <v>23836.1</v>
      </c>
    </row>
    <row r="94" spans="1:13" ht="31.5">
      <c r="A94" s="150"/>
      <c r="B94" s="150"/>
      <c r="C94" s="4" t="s">
        <v>114</v>
      </c>
      <c r="D94" s="25" t="s">
        <v>119</v>
      </c>
      <c r="E94" s="59">
        <v>55.6</v>
      </c>
      <c r="F94" s="55"/>
      <c r="G94" s="55"/>
      <c r="H94" s="55">
        <v>187.5</v>
      </c>
      <c r="I94" s="54">
        <f t="shared" si="8"/>
        <v>187.5</v>
      </c>
      <c r="J94" s="99"/>
      <c r="K94" s="101">
        <f t="shared" si="5"/>
        <v>187.5</v>
      </c>
      <c r="L94" s="104"/>
      <c r="M94" s="101">
        <v>187.5</v>
      </c>
    </row>
    <row r="95" spans="1:13" ht="15.75">
      <c r="A95" s="150"/>
      <c r="B95" s="150"/>
      <c r="C95" s="4" t="s">
        <v>77</v>
      </c>
      <c r="D95" s="23" t="s">
        <v>78</v>
      </c>
      <c r="E95" s="59">
        <v>138</v>
      </c>
      <c r="F95" s="55"/>
      <c r="G95" s="55"/>
      <c r="H95" s="55"/>
      <c r="I95" s="54">
        <f t="shared" si="8"/>
        <v>0</v>
      </c>
      <c r="J95" s="99"/>
      <c r="K95" s="101">
        <f t="shared" si="5"/>
        <v>0</v>
      </c>
      <c r="L95" s="104"/>
      <c r="M95" s="101"/>
    </row>
    <row r="96" spans="1:13" ht="15.75">
      <c r="A96" s="150"/>
      <c r="B96" s="150"/>
      <c r="C96" s="4" t="s">
        <v>81</v>
      </c>
      <c r="D96" s="23" t="s">
        <v>82</v>
      </c>
      <c r="E96" s="59">
        <v>802.2</v>
      </c>
      <c r="F96" s="55"/>
      <c r="G96" s="55"/>
      <c r="H96" s="55">
        <v>668.8</v>
      </c>
      <c r="I96" s="54">
        <f t="shared" si="8"/>
        <v>668.8</v>
      </c>
      <c r="J96" s="99"/>
      <c r="K96" s="101">
        <f t="shared" si="5"/>
        <v>668.8</v>
      </c>
      <c r="L96" s="104"/>
      <c r="M96" s="101"/>
    </row>
    <row r="97" spans="1:13" ht="15.75">
      <c r="A97" s="150"/>
      <c r="B97" s="150"/>
      <c r="C97" s="4" t="s">
        <v>87</v>
      </c>
      <c r="D97" s="23" t="s">
        <v>152</v>
      </c>
      <c r="E97" s="59"/>
      <c r="F97" s="59">
        <v>432341.7</v>
      </c>
      <c r="G97" s="55">
        <v>84722.7</v>
      </c>
      <c r="H97" s="55"/>
      <c r="I97" s="54">
        <f t="shared" si="8"/>
        <v>-84722.7</v>
      </c>
      <c r="J97" s="99">
        <f>H97/G97*100</f>
        <v>0</v>
      </c>
      <c r="K97" s="101">
        <f t="shared" si="5"/>
        <v>-432341.7</v>
      </c>
      <c r="L97" s="104">
        <f t="shared" si="6"/>
        <v>0</v>
      </c>
      <c r="M97" s="59">
        <v>432341.7</v>
      </c>
    </row>
    <row r="98" spans="1:13" ht="15.75" customHeight="1">
      <c r="A98" s="150"/>
      <c r="B98" s="150"/>
      <c r="C98" s="4" t="s">
        <v>83</v>
      </c>
      <c r="D98" s="23" t="s">
        <v>121</v>
      </c>
      <c r="E98" s="59"/>
      <c r="F98" s="55"/>
      <c r="G98" s="55"/>
      <c r="H98" s="55"/>
      <c r="I98" s="54">
        <f t="shared" si="8"/>
        <v>0</v>
      </c>
      <c r="J98" s="99"/>
      <c r="K98" s="101">
        <f t="shared" si="5"/>
        <v>0</v>
      </c>
      <c r="L98" s="104"/>
      <c r="M98" s="101">
        <v>2895.6</v>
      </c>
    </row>
    <row r="99" spans="1:13" s="16" customFormat="1" ht="15.75">
      <c r="A99" s="151"/>
      <c r="B99" s="151"/>
      <c r="C99" s="32"/>
      <c r="D99" s="26" t="s">
        <v>21</v>
      </c>
      <c r="E99" s="60">
        <f>SUM(E93:E98)</f>
        <v>20514.23</v>
      </c>
      <c r="F99" s="60">
        <f>SUM(F93:F98)</f>
        <v>455887.5</v>
      </c>
      <c r="G99" s="60">
        <f>SUM(G93:G98)</f>
        <v>97070.8</v>
      </c>
      <c r="H99" s="60">
        <f>SUM(H93:H98)</f>
        <v>11621</v>
      </c>
      <c r="I99" s="85">
        <f t="shared" si="8"/>
        <v>-85449.8</v>
      </c>
      <c r="J99" s="100">
        <f>H99/G99*100</f>
        <v>11.971674283100581</v>
      </c>
      <c r="K99" s="102">
        <f t="shared" si="5"/>
        <v>-444266.5</v>
      </c>
      <c r="L99" s="105">
        <f t="shared" si="6"/>
        <v>2.5490938005538646</v>
      </c>
      <c r="M99" s="106">
        <f>SUM(M93:M98)</f>
        <v>459260.89999999997</v>
      </c>
    </row>
    <row r="100" spans="1:13" ht="31.5">
      <c r="A100" s="122" t="s">
        <v>104</v>
      </c>
      <c r="B100" s="116" t="s">
        <v>171</v>
      </c>
      <c r="C100" s="4" t="s">
        <v>114</v>
      </c>
      <c r="D100" s="25" t="s">
        <v>119</v>
      </c>
      <c r="E100" s="59">
        <v>778.8</v>
      </c>
      <c r="F100" s="55"/>
      <c r="G100" s="55"/>
      <c r="H100" s="55"/>
      <c r="I100" s="54">
        <f t="shared" si="8"/>
        <v>0</v>
      </c>
      <c r="J100" s="99"/>
      <c r="K100" s="101">
        <f t="shared" si="5"/>
        <v>0</v>
      </c>
      <c r="L100" s="104"/>
      <c r="M100" s="101"/>
    </row>
    <row r="101" spans="1:13" ht="15.75">
      <c r="A101" s="122"/>
      <c r="B101" s="116"/>
      <c r="C101" s="4" t="s">
        <v>77</v>
      </c>
      <c r="D101" s="23" t="s">
        <v>78</v>
      </c>
      <c r="E101" s="59">
        <v>397.9</v>
      </c>
      <c r="F101" s="55">
        <v>7734</v>
      </c>
      <c r="G101" s="55">
        <v>7734</v>
      </c>
      <c r="H101" s="55">
        <v>9638.1</v>
      </c>
      <c r="I101" s="54">
        <f t="shared" si="8"/>
        <v>1904.1000000000004</v>
      </c>
      <c r="J101" s="99">
        <f>H101/G101*100</f>
        <v>124.61986035686579</v>
      </c>
      <c r="K101" s="101">
        <f t="shared" si="5"/>
        <v>1904.1000000000004</v>
      </c>
      <c r="L101" s="104">
        <f t="shared" si="6"/>
        <v>124.61986035686579</v>
      </c>
      <c r="M101" s="101">
        <v>9638.1</v>
      </c>
    </row>
    <row r="102" spans="1:13" ht="15.75">
      <c r="A102" s="122"/>
      <c r="B102" s="116"/>
      <c r="C102" s="4" t="s">
        <v>81</v>
      </c>
      <c r="D102" s="23" t="s">
        <v>82</v>
      </c>
      <c r="E102" s="59">
        <v>1.2</v>
      </c>
      <c r="F102" s="55"/>
      <c r="G102" s="55"/>
      <c r="H102" s="55"/>
      <c r="I102" s="54">
        <f t="shared" si="8"/>
        <v>0</v>
      </c>
      <c r="J102" s="99"/>
      <c r="K102" s="101">
        <f t="shared" si="5"/>
        <v>0</v>
      </c>
      <c r="L102" s="104"/>
      <c r="M102" s="101"/>
    </row>
    <row r="103" spans="1:13" ht="15.75">
      <c r="A103" s="122"/>
      <c r="B103" s="116"/>
      <c r="C103" s="4" t="s">
        <v>79</v>
      </c>
      <c r="D103" s="23" t="s">
        <v>117</v>
      </c>
      <c r="E103" s="59">
        <v>3</v>
      </c>
      <c r="F103" s="55"/>
      <c r="G103" s="55"/>
      <c r="H103" s="55"/>
      <c r="I103" s="54">
        <f t="shared" si="8"/>
        <v>0</v>
      </c>
      <c r="J103" s="99"/>
      <c r="K103" s="101">
        <f t="shared" si="5"/>
        <v>0</v>
      </c>
      <c r="L103" s="104"/>
      <c r="M103" s="101"/>
    </row>
    <row r="104" spans="1:13" ht="15.75">
      <c r="A104" s="122"/>
      <c r="B104" s="116"/>
      <c r="C104" s="4" t="s">
        <v>74</v>
      </c>
      <c r="D104" s="23" t="s">
        <v>75</v>
      </c>
      <c r="E104" s="59"/>
      <c r="F104" s="55"/>
      <c r="G104" s="55"/>
      <c r="H104" s="55"/>
      <c r="I104" s="54">
        <f t="shared" si="8"/>
        <v>0</v>
      </c>
      <c r="J104" s="99"/>
      <c r="K104" s="101">
        <f t="shared" si="5"/>
        <v>0</v>
      </c>
      <c r="L104" s="104"/>
      <c r="M104" s="101"/>
    </row>
    <row r="105" spans="1:13" ht="15.75">
      <c r="A105" s="122"/>
      <c r="B105" s="116"/>
      <c r="C105" s="4" t="s">
        <v>87</v>
      </c>
      <c r="D105" s="23" t="s">
        <v>154</v>
      </c>
      <c r="E105" s="59"/>
      <c r="F105" s="55">
        <v>927560</v>
      </c>
      <c r="G105" s="55">
        <v>51175</v>
      </c>
      <c r="H105" s="55">
        <v>159180</v>
      </c>
      <c r="I105" s="54">
        <f t="shared" si="8"/>
        <v>108005</v>
      </c>
      <c r="J105" s="99">
        <f>H105/G105*100</f>
        <v>311.0503175378603</v>
      </c>
      <c r="K105" s="101">
        <f t="shared" si="5"/>
        <v>-768380</v>
      </c>
      <c r="L105" s="104">
        <f t="shared" si="6"/>
        <v>17.16115399542887</v>
      </c>
      <c r="M105" s="55">
        <v>927560</v>
      </c>
    </row>
    <row r="106" spans="1:13" ht="15.75">
      <c r="A106" s="122"/>
      <c r="B106" s="116"/>
      <c r="C106" s="4" t="s">
        <v>83</v>
      </c>
      <c r="D106" s="23" t="s">
        <v>121</v>
      </c>
      <c r="E106" s="59">
        <v>-778.8</v>
      </c>
      <c r="F106" s="55"/>
      <c r="G106" s="55"/>
      <c r="H106" s="55"/>
      <c r="I106" s="54">
        <f t="shared" si="8"/>
        <v>0</v>
      </c>
      <c r="J106" s="99"/>
      <c r="K106" s="101">
        <f t="shared" si="5"/>
        <v>0</v>
      </c>
      <c r="L106" s="104"/>
      <c r="M106" s="101"/>
    </row>
    <row r="107" spans="1:13" s="16" customFormat="1" ht="15.75">
      <c r="A107" s="119"/>
      <c r="B107" s="119"/>
      <c r="C107" s="42"/>
      <c r="D107" s="26" t="s">
        <v>21</v>
      </c>
      <c r="E107" s="60">
        <f>SUM(E100:E106)</f>
        <v>402.0999999999999</v>
      </c>
      <c r="F107" s="60">
        <f>SUM(F100:F106)</f>
        <v>935294</v>
      </c>
      <c r="G107" s="60">
        <f>SUM(G100:G106)</f>
        <v>58909</v>
      </c>
      <c r="H107" s="60">
        <f>SUM(H100:H106)</f>
        <v>168818.1</v>
      </c>
      <c r="I107" s="85">
        <f t="shared" si="8"/>
        <v>109909.1</v>
      </c>
      <c r="J107" s="100">
        <f>H107/G107*100</f>
        <v>286.5743774295948</v>
      </c>
      <c r="K107" s="102">
        <f t="shared" si="5"/>
        <v>-766475.9</v>
      </c>
      <c r="L107" s="105">
        <f t="shared" si="6"/>
        <v>18.049736232671222</v>
      </c>
      <c r="M107" s="106">
        <f>SUM(M100:M106)</f>
        <v>937198.1</v>
      </c>
    </row>
    <row r="108" spans="1:13" s="16" customFormat="1" ht="31.5">
      <c r="A108" s="148" t="s">
        <v>107</v>
      </c>
      <c r="B108" s="145" t="s">
        <v>172</v>
      </c>
      <c r="C108" s="4" t="s">
        <v>114</v>
      </c>
      <c r="D108" s="25" t="s">
        <v>119</v>
      </c>
      <c r="E108" s="60"/>
      <c r="F108" s="60"/>
      <c r="G108" s="60"/>
      <c r="H108" s="59">
        <v>15</v>
      </c>
      <c r="I108" s="54">
        <f t="shared" si="8"/>
        <v>15</v>
      </c>
      <c r="J108" s="99"/>
      <c r="K108" s="101">
        <f t="shared" si="5"/>
        <v>15</v>
      </c>
      <c r="L108" s="104"/>
      <c r="M108" s="107">
        <v>15</v>
      </c>
    </row>
    <row r="109" spans="1:13" ht="15.75" customHeight="1">
      <c r="A109" s="150"/>
      <c r="B109" s="150"/>
      <c r="C109" s="4" t="s">
        <v>77</v>
      </c>
      <c r="D109" s="23" t="s">
        <v>78</v>
      </c>
      <c r="E109" s="59">
        <v>51</v>
      </c>
      <c r="F109" s="55">
        <v>160</v>
      </c>
      <c r="G109" s="55">
        <v>70</v>
      </c>
      <c r="H109" s="55">
        <v>0.4</v>
      </c>
      <c r="I109" s="54">
        <f t="shared" si="8"/>
        <v>-69.6</v>
      </c>
      <c r="J109" s="99">
        <f>H109/G109*100</f>
        <v>0.5714285714285714</v>
      </c>
      <c r="K109" s="101">
        <f t="shared" si="5"/>
        <v>-159.6</v>
      </c>
      <c r="L109" s="104">
        <f t="shared" si="6"/>
        <v>0.25</v>
      </c>
      <c r="M109" s="101">
        <v>0.4</v>
      </c>
    </row>
    <row r="110" spans="1:13" ht="15.75">
      <c r="A110" s="150"/>
      <c r="B110" s="150"/>
      <c r="C110" s="4" t="s">
        <v>81</v>
      </c>
      <c r="D110" s="23" t="s">
        <v>82</v>
      </c>
      <c r="E110" s="59">
        <v>3</v>
      </c>
      <c r="F110" s="55"/>
      <c r="G110" s="55"/>
      <c r="H110" s="55">
        <v>25.1</v>
      </c>
      <c r="I110" s="54">
        <f t="shared" si="8"/>
        <v>25.1</v>
      </c>
      <c r="J110" s="99"/>
      <c r="K110" s="101">
        <f t="shared" si="5"/>
        <v>25.1</v>
      </c>
      <c r="L110" s="104"/>
      <c r="M110" s="101"/>
    </row>
    <row r="111" spans="1:13" ht="15.75">
      <c r="A111" s="150"/>
      <c r="B111" s="150"/>
      <c r="C111" s="4" t="s">
        <v>74</v>
      </c>
      <c r="D111" s="23" t="s">
        <v>75</v>
      </c>
      <c r="E111" s="59"/>
      <c r="F111" s="55">
        <v>-1696</v>
      </c>
      <c r="G111" s="55">
        <v>-1696</v>
      </c>
      <c r="H111" s="55">
        <v>-1696</v>
      </c>
      <c r="I111" s="54">
        <f t="shared" si="8"/>
        <v>0</v>
      </c>
      <c r="J111" s="99">
        <f>H111/G111*100</f>
        <v>100</v>
      </c>
      <c r="K111" s="101">
        <f t="shared" si="5"/>
        <v>0</v>
      </c>
      <c r="L111" s="104">
        <f t="shared" si="6"/>
        <v>100</v>
      </c>
      <c r="M111" s="55">
        <v>-1696</v>
      </c>
    </row>
    <row r="112" spans="1:13" ht="15.75">
      <c r="A112" s="150"/>
      <c r="B112" s="150"/>
      <c r="C112" s="4" t="s">
        <v>142</v>
      </c>
      <c r="D112" s="23" t="s">
        <v>153</v>
      </c>
      <c r="E112" s="59"/>
      <c r="F112" s="55">
        <v>477.7</v>
      </c>
      <c r="G112" s="55">
        <v>342.7</v>
      </c>
      <c r="H112" s="55">
        <v>1028</v>
      </c>
      <c r="I112" s="54">
        <f t="shared" si="8"/>
        <v>685.3</v>
      </c>
      <c r="J112" s="99">
        <f>H112/G112*100</f>
        <v>299.97081995914795</v>
      </c>
      <c r="K112" s="101">
        <f t="shared" si="5"/>
        <v>550.3</v>
      </c>
      <c r="L112" s="104">
        <f t="shared" si="6"/>
        <v>215.19782290140256</v>
      </c>
      <c r="M112" s="55">
        <v>477.7</v>
      </c>
    </row>
    <row r="113" spans="1:13" ht="15.75">
      <c r="A113" s="150"/>
      <c r="B113" s="150"/>
      <c r="C113" s="4" t="s">
        <v>96</v>
      </c>
      <c r="D113" s="64" t="s">
        <v>141</v>
      </c>
      <c r="E113" s="59"/>
      <c r="F113" s="55"/>
      <c r="G113" s="55"/>
      <c r="H113" s="55"/>
      <c r="I113" s="54">
        <f t="shared" si="8"/>
        <v>0</v>
      </c>
      <c r="J113" s="99"/>
      <c r="K113" s="101">
        <f t="shared" si="5"/>
        <v>0</v>
      </c>
      <c r="L113" s="104"/>
      <c r="M113" s="101"/>
    </row>
    <row r="114" spans="1:13" ht="15.75">
      <c r="A114" s="150"/>
      <c r="B114" s="150"/>
      <c r="C114" s="4" t="s">
        <v>83</v>
      </c>
      <c r="D114" s="23" t="s">
        <v>121</v>
      </c>
      <c r="E114" s="59">
        <v>191.9</v>
      </c>
      <c r="F114" s="55">
        <v>400</v>
      </c>
      <c r="G114" s="55">
        <v>183</v>
      </c>
      <c r="H114" s="55">
        <v>188.2</v>
      </c>
      <c r="I114" s="54">
        <f t="shared" si="8"/>
        <v>5.199999999999989</v>
      </c>
      <c r="J114" s="99">
        <f>H114/G114*100</f>
        <v>102.8415300546448</v>
      </c>
      <c r="K114" s="101">
        <f t="shared" si="5"/>
        <v>-211.8</v>
      </c>
      <c r="L114" s="104">
        <f t="shared" si="6"/>
        <v>47.05</v>
      </c>
      <c r="M114" s="101">
        <v>400</v>
      </c>
    </row>
    <row r="115" spans="1:13" s="69" customFormat="1" ht="15.75">
      <c r="A115" s="151"/>
      <c r="B115" s="151"/>
      <c r="C115" s="42"/>
      <c r="D115" s="26" t="s">
        <v>21</v>
      </c>
      <c r="E115" s="60">
        <f>SUM(E108:E114)</f>
        <v>245.9</v>
      </c>
      <c r="F115" s="60">
        <f>SUM(F108:F114)</f>
        <v>-658.3</v>
      </c>
      <c r="G115" s="60">
        <f>SUM(G108:G114)</f>
        <v>-1100.3</v>
      </c>
      <c r="H115" s="60">
        <f>SUM(H108:H114)</f>
        <v>-439.3</v>
      </c>
      <c r="I115" s="85">
        <f t="shared" si="8"/>
        <v>661</v>
      </c>
      <c r="J115" s="100">
        <f>H115/G115*100</f>
        <v>39.92547487048987</v>
      </c>
      <c r="K115" s="102">
        <f t="shared" si="5"/>
        <v>218.99999999999994</v>
      </c>
      <c r="L115" s="105">
        <f t="shared" si="6"/>
        <v>66.73249278444479</v>
      </c>
      <c r="M115" s="102">
        <f>SUM(M108:M114)</f>
        <v>-802.8999999999999</v>
      </c>
    </row>
    <row r="116" spans="1:13" ht="31.5">
      <c r="A116" s="116" t="s">
        <v>29</v>
      </c>
      <c r="B116" s="116" t="s">
        <v>173</v>
      </c>
      <c r="C116" s="4" t="s">
        <v>31</v>
      </c>
      <c r="D116" s="23" t="s">
        <v>32</v>
      </c>
      <c r="E116" s="59">
        <v>2212.5</v>
      </c>
      <c r="F116" s="55">
        <v>300</v>
      </c>
      <c r="G116" s="55">
        <v>150</v>
      </c>
      <c r="H116" s="55">
        <v>3664.5</v>
      </c>
      <c r="I116" s="54">
        <f t="shared" si="8"/>
        <v>3514.5</v>
      </c>
      <c r="J116" s="99">
        <f>H116/G116*100</f>
        <v>2443</v>
      </c>
      <c r="K116" s="101">
        <f t="shared" si="5"/>
        <v>3364.5</v>
      </c>
      <c r="L116" s="104">
        <f t="shared" si="6"/>
        <v>1221.5</v>
      </c>
      <c r="M116" s="101">
        <v>4302</v>
      </c>
    </row>
    <row r="117" spans="1:13" ht="15.75">
      <c r="A117" s="116"/>
      <c r="B117" s="116"/>
      <c r="C117" s="4" t="s">
        <v>36</v>
      </c>
      <c r="D117" s="24" t="s">
        <v>37</v>
      </c>
      <c r="E117" s="59"/>
      <c r="F117" s="55"/>
      <c r="G117" s="55"/>
      <c r="H117" s="55">
        <v>1.3</v>
      </c>
      <c r="I117" s="54">
        <f t="shared" si="8"/>
        <v>1.3</v>
      </c>
      <c r="J117" s="99"/>
      <c r="K117" s="101">
        <f t="shared" si="5"/>
        <v>1.3</v>
      </c>
      <c r="L117" s="104"/>
      <c r="M117" s="101">
        <v>1.3</v>
      </c>
    </row>
    <row r="118" spans="1:13" ht="31.5">
      <c r="A118" s="116"/>
      <c r="B118" s="116"/>
      <c r="C118" s="63" t="s">
        <v>128</v>
      </c>
      <c r="D118" s="64" t="s">
        <v>157</v>
      </c>
      <c r="E118" s="59">
        <v>18062.6</v>
      </c>
      <c r="F118" s="55">
        <v>64330.2</v>
      </c>
      <c r="G118" s="55">
        <v>33165.1</v>
      </c>
      <c r="H118" s="55">
        <v>20364.7</v>
      </c>
      <c r="I118" s="54">
        <f t="shared" si="8"/>
        <v>-12800.399999999998</v>
      </c>
      <c r="J118" s="99">
        <f>H118/G118*100</f>
        <v>61.404006018374744</v>
      </c>
      <c r="K118" s="101">
        <f t="shared" si="5"/>
        <v>-43965.5</v>
      </c>
      <c r="L118" s="104">
        <f t="shared" si="6"/>
        <v>31.65651591321028</v>
      </c>
      <c r="M118" s="101">
        <v>64330.2</v>
      </c>
    </row>
    <row r="119" spans="1:13" ht="31.5" customHeight="1">
      <c r="A119" s="116"/>
      <c r="B119" s="116"/>
      <c r="C119" s="4" t="s">
        <v>114</v>
      </c>
      <c r="D119" s="25" t="s">
        <v>119</v>
      </c>
      <c r="E119" s="59">
        <v>0.1</v>
      </c>
      <c r="F119" s="55"/>
      <c r="G119" s="55"/>
      <c r="H119" s="55"/>
      <c r="I119" s="54">
        <f t="shared" si="8"/>
        <v>0</v>
      </c>
      <c r="J119" s="99"/>
      <c r="K119" s="101">
        <f t="shared" si="5"/>
        <v>0</v>
      </c>
      <c r="L119" s="104"/>
      <c r="M119" s="101"/>
    </row>
    <row r="120" spans="1:13" ht="15.75">
      <c r="A120" s="116"/>
      <c r="B120" s="116"/>
      <c r="C120" s="4" t="s">
        <v>77</v>
      </c>
      <c r="D120" s="23" t="s">
        <v>78</v>
      </c>
      <c r="E120" s="59">
        <v>331.8</v>
      </c>
      <c r="F120" s="55"/>
      <c r="G120" s="55"/>
      <c r="H120" s="55">
        <v>55.8</v>
      </c>
      <c r="I120" s="54">
        <f t="shared" si="8"/>
        <v>55.8</v>
      </c>
      <c r="J120" s="99"/>
      <c r="K120" s="101">
        <f t="shared" si="5"/>
        <v>55.8</v>
      </c>
      <c r="L120" s="104"/>
      <c r="M120" s="101">
        <v>55.8</v>
      </c>
    </row>
    <row r="121" spans="1:13" ht="15.75">
      <c r="A121" s="116"/>
      <c r="B121" s="116"/>
      <c r="C121" s="4" t="s">
        <v>81</v>
      </c>
      <c r="D121" s="23" t="s">
        <v>82</v>
      </c>
      <c r="E121" s="59">
        <v>-475</v>
      </c>
      <c r="F121" s="55"/>
      <c r="G121" s="55"/>
      <c r="H121" s="55">
        <v>1053.6</v>
      </c>
      <c r="I121" s="54">
        <f t="shared" si="8"/>
        <v>1053.6</v>
      </c>
      <c r="J121" s="99"/>
      <c r="K121" s="101">
        <f aca="true" t="shared" si="9" ref="K121:K180">H121-F121</f>
        <v>1053.6</v>
      </c>
      <c r="L121" s="104"/>
      <c r="M121" s="101"/>
    </row>
    <row r="122" spans="1:13" ht="15.75">
      <c r="A122" s="116"/>
      <c r="B122" s="116"/>
      <c r="C122" s="4" t="s">
        <v>79</v>
      </c>
      <c r="D122" s="23" t="s">
        <v>117</v>
      </c>
      <c r="E122" s="59"/>
      <c r="F122" s="55"/>
      <c r="G122" s="55"/>
      <c r="H122" s="55"/>
      <c r="I122" s="54">
        <f t="shared" si="8"/>
        <v>0</v>
      </c>
      <c r="J122" s="99"/>
      <c r="K122" s="101">
        <f t="shared" si="9"/>
        <v>0</v>
      </c>
      <c r="L122" s="104"/>
      <c r="M122" s="101"/>
    </row>
    <row r="123" spans="1:13" ht="15.75">
      <c r="A123" s="116"/>
      <c r="B123" s="116"/>
      <c r="C123" s="4" t="s">
        <v>74</v>
      </c>
      <c r="D123" s="23" t="s">
        <v>75</v>
      </c>
      <c r="E123" s="59"/>
      <c r="F123" s="55">
        <v>-5.6</v>
      </c>
      <c r="G123" s="55">
        <v>-5.6</v>
      </c>
      <c r="H123" s="55">
        <v>-5.59951</v>
      </c>
      <c r="I123" s="54">
        <f>H123-G123</f>
        <v>0.0004899999999992133</v>
      </c>
      <c r="J123" s="99">
        <f>H123/G123*100</f>
        <v>99.99125000000001</v>
      </c>
      <c r="K123" s="101">
        <f t="shared" si="9"/>
        <v>0.0004899999999992133</v>
      </c>
      <c r="L123" s="104">
        <f aca="true" t="shared" si="10" ref="L123:L180">H123/F123*100</f>
        <v>99.99125000000001</v>
      </c>
      <c r="M123" s="55">
        <v>-5.6</v>
      </c>
    </row>
    <row r="124" spans="1:13" ht="15.75">
      <c r="A124" s="116"/>
      <c r="B124" s="116"/>
      <c r="C124" s="4" t="s">
        <v>142</v>
      </c>
      <c r="D124" s="23" t="s">
        <v>151</v>
      </c>
      <c r="E124" s="59"/>
      <c r="F124" s="55">
        <v>275.4</v>
      </c>
      <c r="G124" s="55">
        <v>135.2</v>
      </c>
      <c r="H124" s="55">
        <v>137.7</v>
      </c>
      <c r="I124" s="54">
        <f>H124-G124</f>
        <v>2.5</v>
      </c>
      <c r="J124" s="99">
        <f>H124/G124*100</f>
        <v>101.84911242603549</v>
      </c>
      <c r="K124" s="101">
        <f t="shared" si="9"/>
        <v>-137.7</v>
      </c>
      <c r="L124" s="104">
        <f t="shared" si="10"/>
        <v>50</v>
      </c>
      <c r="M124" s="55">
        <v>275.4</v>
      </c>
    </row>
    <row r="125" spans="1:13" s="69" customFormat="1" ht="15.75">
      <c r="A125" s="116"/>
      <c r="B125" s="116"/>
      <c r="C125" s="15"/>
      <c r="D125" s="26" t="s">
        <v>21</v>
      </c>
      <c r="E125" s="60">
        <f>SUM(E116:E124)</f>
        <v>20131.999999999996</v>
      </c>
      <c r="F125" s="60">
        <f>SUM(F116:F124)</f>
        <v>64900</v>
      </c>
      <c r="G125" s="60">
        <f>SUM(G116:G124)</f>
        <v>33444.7</v>
      </c>
      <c r="H125" s="60">
        <f>SUM(H116:H124)</f>
        <v>25272.00049</v>
      </c>
      <c r="I125" s="85">
        <f>H125-G125</f>
        <v>-8172.699509999999</v>
      </c>
      <c r="J125" s="100">
        <f>H125/G125*100</f>
        <v>75.56354367059654</v>
      </c>
      <c r="K125" s="102">
        <f t="shared" si="9"/>
        <v>-39627.99951</v>
      </c>
      <c r="L125" s="105">
        <f t="shared" si="10"/>
        <v>38.93990830508474</v>
      </c>
      <c r="M125" s="102">
        <f>SUM(M116:M124)</f>
        <v>68959.09999999999</v>
      </c>
    </row>
    <row r="126" spans="1:13" ht="31.5">
      <c r="A126" s="122" t="s">
        <v>106</v>
      </c>
      <c r="B126" s="116" t="s">
        <v>164</v>
      </c>
      <c r="C126" s="4" t="s">
        <v>114</v>
      </c>
      <c r="D126" s="25" t="s">
        <v>119</v>
      </c>
      <c r="E126" s="59">
        <v>2</v>
      </c>
      <c r="F126" s="55"/>
      <c r="G126" s="55"/>
      <c r="H126" s="55">
        <v>3452.8</v>
      </c>
      <c r="I126" s="54">
        <f>H126-G126</f>
        <v>3452.8</v>
      </c>
      <c r="J126" s="99"/>
      <c r="K126" s="101">
        <f t="shared" si="9"/>
        <v>3452.8</v>
      </c>
      <c r="L126" s="104"/>
      <c r="M126" s="101">
        <v>3452.8</v>
      </c>
    </row>
    <row r="127" spans="1:13" ht="15.75">
      <c r="A127" s="122"/>
      <c r="B127" s="116"/>
      <c r="C127" s="4" t="s">
        <v>77</v>
      </c>
      <c r="D127" s="23" t="s">
        <v>78</v>
      </c>
      <c r="E127" s="59">
        <v>3</v>
      </c>
      <c r="F127" s="55"/>
      <c r="G127" s="55"/>
      <c r="H127" s="55"/>
      <c r="I127" s="54">
        <f aca="true" t="shared" si="11" ref="I127:I160">H127-G127</f>
        <v>0</v>
      </c>
      <c r="J127" s="99"/>
      <c r="K127" s="101">
        <f t="shared" si="9"/>
        <v>0</v>
      </c>
      <c r="L127" s="104"/>
      <c r="M127" s="101"/>
    </row>
    <row r="128" spans="1:13" ht="15.75">
      <c r="A128" s="122"/>
      <c r="B128" s="116"/>
      <c r="C128" s="4" t="s">
        <v>81</v>
      </c>
      <c r="D128" s="23" t="s">
        <v>82</v>
      </c>
      <c r="E128" s="59">
        <v>3.7</v>
      </c>
      <c r="F128" s="55"/>
      <c r="G128" s="55"/>
      <c r="H128" s="55">
        <v>0.5</v>
      </c>
      <c r="I128" s="54">
        <f t="shared" si="11"/>
        <v>0.5</v>
      </c>
      <c r="J128" s="99"/>
      <c r="K128" s="101">
        <f t="shared" si="9"/>
        <v>0.5</v>
      </c>
      <c r="L128" s="104"/>
      <c r="M128" s="101"/>
    </row>
    <row r="129" spans="1:13" ht="15.75">
      <c r="A129" s="122"/>
      <c r="B129" s="116"/>
      <c r="C129" s="4" t="s">
        <v>142</v>
      </c>
      <c r="D129" s="23" t="s">
        <v>151</v>
      </c>
      <c r="E129" s="59"/>
      <c r="F129" s="55">
        <v>4812.7</v>
      </c>
      <c r="G129" s="55">
        <v>1957.9</v>
      </c>
      <c r="H129" s="55">
        <v>3648.6</v>
      </c>
      <c r="I129" s="54">
        <f t="shared" si="11"/>
        <v>1690.6999999999998</v>
      </c>
      <c r="J129" s="99">
        <f aca="true" t="shared" si="12" ref="J129:J160">H129/G129*100</f>
        <v>186.3527248582665</v>
      </c>
      <c r="K129" s="101">
        <f t="shared" si="9"/>
        <v>-1164.1</v>
      </c>
      <c r="L129" s="104">
        <f t="shared" si="10"/>
        <v>75.81191431005465</v>
      </c>
      <c r="M129" s="55">
        <v>4812.7</v>
      </c>
    </row>
    <row r="130" spans="1:13" ht="15.75">
      <c r="A130" s="122"/>
      <c r="B130" s="116"/>
      <c r="C130" s="4" t="s">
        <v>83</v>
      </c>
      <c r="D130" s="23" t="s">
        <v>121</v>
      </c>
      <c r="E130" s="59">
        <v>94.3</v>
      </c>
      <c r="F130" s="55">
        <v>430.8</v>
      </c>
      <c r="G130" s="55">
        <v>137</v>
      </c>
      <c r="H130" s="55">
        <v>408.9</v>
      </c>
      <c r="I130" s="54">
        <f t="shared" si="11"/>
        <v>271.9</v>
      </c>
      <c r="J130" s="99">
        <f t="shared" si="12"/>
        <v>298.46715328467155</v>
      </c>
      <c r="K130" s="101">
        <f t="shared" si="9"/>
        <v>-21.900000000000034</v>
      </c>
      <c r="L130" s="104">
        <f t="shared" si="10"/>
        <v>94.91643454038996</v>
      </c>
      <c r="M130" s="101">
        <v>430.8</v>
      </c>
    </row>
    <row r="131" spans="1:13" s="69" customFormat="1" ht="15.75">
      <c r="A131" s="122"/>
      <c r="B131" s="116"/>
      <c r="C131" s="42"/>
      <c r="D131" s="26" t="s">
        <v>21</v>
      </c>
      <c r="E131" s="60">
        <f>SUM(E126:E130)</f>
        <v>103</v>
      </c>
      <c r="F131" s="60">
        <f>SUM(F126:F130)</f>
        <v>5243.5</v>
      </c>
      <c r="G131" s="60">
        <f>SUM(G126:G130)</f>
        <v>2094.9</v>
      </c>
      <c r="H131" s="60">
        <f>SUM(H126:H130)</f>
        <v>7510.799999999999</v>
      </c>
      <c r="I131" s="85">
        <f t="shared" si="11"/>
        <v>5415.9</v>
      </c>
      <c r="J131" s="100">
        <f t="shared" si="12"/>
        <v>358.5278533581555</v>
      </c>
      <c r="K131" s="102">
        <f t="shared" si="9"/>
        <v>2267.2999999999993</v>
      </c>
      <c r="L131" s="105">
        <f t="shared" si="10"/>
        <v>143.24020215504908</v>
      </c>
      <c r="M131" s="102">
        <f>SUM(M126:M130)</f>
        <v>8696.3</v>
      </c>
    </row>
    <row r="132" spans="1:13" s="69" customFormat="1" ht="31.5">
      <c r="A132" s="148" t="s">
        <v>101</v>
      </c>
      <c r="B132" s="145" t="s">
        <v>102</v>
      </c>
      <c r="C132" s="4" t="s">
        <v>114</v>
      </c>
      <c r="D132" s="25" t="s">
        <v>119</v>
      </c>
      <c r="E132" s="60"/>
      <c r="F132" s="60"/>
      <c r="G132" s="60"/>
      <c r="H132" s="108">
        <v>0.7</v>
      </c>
      <c r="I132" s="54">
        <f>H132-G132</f>
        <v>0.7</v>
      </c>
      <c r="J132" s="99"/>
      <c r="K132" s="101">
        <f t="shared" si="9"/>
        <v>0.7</v>
      </c>
      <c r="L132" s="104"/>
      <c r="M132" s="107">
        <v>0.7</v>
      </c>
    </row>
    <row r="133" spans="1:13" s="69" customFormat="1" ht="15.75">
      <c r="A133" s="150"/>
      <c r="B133" s="150"/>
      <c r="C133" s="4" t="s">
        <v>77</v>
      </c>
      <c r="D133" s="23" t="s">
        <v>78</v>
      </c>
      <c r="E133" s="60"/>
      <c r="F133" s="60"/>
      <c r="G133" s="60"/>
      <c r="H133" s="108">
        <v>2321.6</v>
      </c>
      <c r="I133" s="54">
        <f>H133-G133</f>
        <v>2321.6</v>
      </c>
      <c r="J133" s="99"/>
      <c r="K133" s="101">
        <f t="shared" si="9"/>
        <v>2321.6</v>
      </c>
      <c r="L133" s="104"/>
      <c r="M133" s="107">
        <v>2321.6</v>
      </c>
    </row>
    <row r="134" spans="1:13" s="69" customFormat="1" ht="15.75">
      <c r="A134" s="150"/>
      <c r="B134" s="150"/>
      <c r="C134" s="4" t="s">
        <v>81</v>
      </c>
      <c r="D134" s="23" t="s">
        <v>82</v>
      </c>
      <c r="E134" s="59">
        <v>119.2</v>
      </c>
      <c r="F134" s="60"/>
      <c r="G134" s="60"/>
      <c r="H134" s="108">
        <v>18.4</v>
      </c>
      <c r="I134" s="54">
        <f>H134-G134</f>
        <v>18.4</v>
      </c>
      <c r="J134" s="99"/>
      <c r="K134" s="101">
        <f t="shared" si="9"/>
        <v>18.4</v>
      </c>
      <c r="L134" s="104"/>
      <c r="M134" s="102"/>
    </row>
    <row r="135" spans="1:13" ht="15.75" customHeight="1">
      <c r="A135" s="150"/>
      <c r="B135" s="150"/>
      <c r="C135" s="4" t="s">
        <v>83</v>
      </c>
      <c r="D135" s="23" t="s">
        <v>121</v>
      </c>
      <c r="E135" s="59">
        <v>779.6</v>
      </c>
      <c r="F135" s="55">
        <v>3551.2</v>
      </c>
      <c r="G135" s="55">
        <v>1358.5</v>
      </c>
      <c r="H135" s="109">
        <v>2997.1</v>
      </c>
      <c r="I135" s="54">
        <f t="shared" si="11"/>
        <v>1638.6</v>
      </c>
      <c r="J135" s="99">
        <f t="shared" si="12"/>
        <v>220.61832903938168</v>
      </c>
      <c r="K135" s="101">
        <f t="shared" si="9"/>
        <v>-554.0999999999999</v>
      </c>
      <c r="L135" s="104">
        <f t="shared" si="10"/>
        <v>84.39682360892094</v>
      </c>
      <c r="M135" s="101">
        <v>3919.1</v>
      </c>
    </row>
    <row r="136" spans="1:13" s="69" customFormat="1" ht="15.75">
      <c r="A136" s="151"/>
      <c r="B136" s="151"/>
      <c r="C136" s="42"/>
      <c r="D136" s="26" t="s">
        <v>21</v>
      </c>
      <c r="E136" s="60">
        <f>SUM(E132:E135)</f>
        <v>898.8000000000001</v>
      </c>
      <c r="F136" s="60">
        <f>SUM(F132:F135)</f>
        <v>3551.2</v>
      </c>
      <c r="G136" s="60">
        <f>SUM(G132:G135)</f>
        <v>1358.5</v>
      </c>
      <c r="H136" s="60">
        <f>SUM(H132:H135)</f>
        <v>5337.799999999999</v>
      </c>
      <c r="I136" s="85">
        <f t="shared" si="11"/>
        <v>3979.2999999999993</v>
      </c>
      <c r="J136" s="100">
        <f t="shared" si="12"/>
        <v>392.9186602870813</v>
      </c>
      <c r="K136" s="102">
        <f t="shared" si="9"/>
        <v>1786.5999999999995</v>
      </c>
      <c r="L136" s="105">
        <f t="shared" si="10"/>
        <v>150.30975444920026</v>
      </c>
      <c r="M136" s="102">
        <f>SUM(M132:M135)</f>
        <v>6241.4</v>
      </c>
    </row>
    <row r="137" spans="1:13" s="69" customFormat="1" ht="15.75">
      <c r="A137" s="148" t="s">
        <v>177</v>
      </c>
      <c r="B137" s="145" t="s">
        <v>192</v>
      </c>
      <c r="C137" s="4" t="s">
        <v>66</v>
      </c>
      <c r="D137" s="23" t="s">
        <v>67</v>
      </c>
      <c r="E137" s="59">
        <v>402.5</v>
      </c>
      <c r="F137" s="59">
        <v>1460</v>
      </c>
      <c r="G137" s="59">
        <v>500</v>
      </c>
      <c r="H137" s="59">
        <v>296</v>
      </c>
      <c r="I137" s="54">
        <f t="shared" si="11"/>
        <v>-204</v>
      </c>
      <c r="J137" s="99">
        <f t="shared" si="12"/>
        <v>59.199999999999996</v>
      </c>
      <c r="K137" s="101">
        <f t="shared" si="9"/>
        <v>-1164</v>
      </c>
      <c r="L137" s="104">
        <f t="shared" si="10"/>
        <v>20.273972602739725</v>
      </c>
      <c r="M137" s="107">
        <v>1460</v>
      </c>
    </row>
    <row r="138" spans="1:13" s="69" customFormat="1" ht="15.75">
      <c r="A138" s="149"/>
      <c r="B138" s="152"/>
      <c r="C138" s="4" t="s">
        <v>74</v>
      </c>
      <c r="D138" s="23" t="s">
        <v>75</v>
      </c>
      <c r="E138" s="60"/>
      <c r="F138" s="59">
        <v>-10.7</v>
      </c>
      <c r="G138" s="59">
        <v>-10.7</v>
      </c>
      <c r="H138" s="59">
        <v>-10.7</v>
      </c>
      <c r="I138" s="54">
        <f t="shared" si="11"/>
        <v>0</v>
      </c>
      <c r="J138" s="99"/>
      <c r="K138" s="101">
        <f t="shared" si="9"/>
        <v>0</v>
      </c>
      <c r="L138" s="104">
        <f t="shared" si="10"/>
        <v>100</v>
      </c>
      <c r="M138" s="59">
        <v>-10.7</v>
      </c>
    </row>
    <row r="139" spans="1:13" s="69" customFormat="1" ht="15.75">
      <c r="A139" s="149"/>
      <c r="B139" s="152"/>
      <c r="C139" s="4" t="s">
        <v>87</v>
      </c>
      <c r="D139" s="23" t="s">
        <v>152</v>
      </c>
      <c r="E139" s="59"/>
      <c r="F139" s="55">
        <v>161300</v>
      </c>
      <c r="G139" s="55">
        <v>34020.4</v>
      </c>
      <c r="H139" s="55">
        <v>21492</v>
      </c>
      <c r="I139" s="54">
        <f>H139-G139</f>
        <v>-12528.400000000001</v>
      </c>
      <c r="J139" s="99">
        <f>H139/G139*100</f>
        <v>63.17386038964856</v>
      </c>
      <c r="K139" s="101">
        <f t="shared" si="9"/>
        <v>-139808</v>
      </c>
      <c r="L139" s="104">
        <f t="shared" si="10"/>
        <v>13.324240545567264</v>
      </c>
      <c r="M139" s="55">
        <v>161300</v>
      </c>
    </row>
    <row r="140" spans="1:13" s="69" customFormat="1" ht="15.75">
      <c r="A140" s="149"/>
      <c r="B140" s="152"/>
      <c r="C140" s="4" t="s">
        <v>142</v>
      </c>
      <c r="D140" s="23" t="s">
        <v>151</v>
      </c>
      <c r="E140" s="60"/>
      <c r="F140" s="59">
        <v>106574.4</v>
      </c>
      <c r="G140" s="59">
        <v>34613.8</v>
      </c>
      <c r="H140" s="59">
        <v>32900.5</v>
      </c>
      <c r="I140" s="54">
        <f>H140-G140</f>
        <v>-1713.300000000003</v>
      </c>
      <c r="J140" s="99">
        <f>H140/G140*100</f>
        <v>95.05024007765688</v>
      </c>
      <c r="K140" s="101">
        <f t="shared" si="9"/>
        <v>-73673.9</v>
      </c>
      <c r="L140" s="104">
        <f t="shared" si="10"/>
        <v>30.87092209761444</v>
      </c>
      <c r="M140" s="59">
        <v>106574.4</v>
      </c>
    </row>
    <row r="141" spans="1:13" s="69" customFormat="1" ht="15.75">
      <c r="A141" s="149"/>
      <c r="B141" s="152"/>
      <c r="C141" s="4" t="s">
        <v>96</v>
      </c>
      <c r="D141" s="64" t="s">
        <v>141</v>
      </c>
      <c r="E141" s="60"/>
      <c r="F141" s="59">
        <v>3864.5</v>
      </c>
      <c r="G141" s="59">
        <v>3864.5</v>
      </c>
      <c r="H141" s="59">
        <v>3864.5</v>
      </c>
      <c r="I141" s="54">
        <f>H141-G141</f>
        <v>0</v>
      </c>
      <c r="J141" s="99">
        <f>H141/G141*100</f>
        <v>100</v>
      </c>
      <c r="K141" s="101">
        <f t="shared" si="9"/>
        <v>0</v>
      </c>
      <c r="L141" s="104">
        <f t="shared" si="10"/>
        <v>100</v>
      </c>
      <c r="M141" s="59">
        <v>3864.5</v>
      </c>
    </row>
    <row r="142" spans="1:13" s="69" customFormat="1" ht="15.75">
      <c r="A142" s="156"/>
      <c r="B142" s="113"/>
      <c r="C142" s="42"/>
      <c r="D142" s="26" t="s">
        <v>21</v>
      </c>
      <c r="E142" s="60">
        <f>SUM(E137:E141)</f>
        <v>402.5</v>
      </c>
      <c r="F142" s="60">
        <f>SUM(F137:F141)</f>
        <v>273188.19999999995</v>
      </c>
      <c r="G142" s="60">
        <f>SUM(G137:G141)</f>
        <v>72988</v>
      </c>
      <c r="H142" s="60">
        <f>SUM(H137:H141)</f>
        <v>58542.3</v>
      </c>
      <c r="I142" s="85">
        <f>H142-G142</f>
        <v>-14445.699999999997</v>
      </c>
      <c r="J142" s="100">
        <f>H142/G142*100</f>
        <v>80.20811640269633</v>
      </c>
      <c r="K142" s="102">
        <f t="shared" si="9"/>
        <v>-214645.89999999997</v>
      </c>
      <c r="L142" s="105">
        <f t="shared" si="10"/>
        <v>21.429293066098758</v>
      </c>
      <c r="M142" s="102">
        <f>SUM(M137:M141)</f>
        <v>273188.19999999995</v>
      </c>
    </row>
    <row r="143" spans="1:13" ht="63">
      <c r="A143" s="114" t="s">
        <v>50</v>
      </c>
      <c r="B143" s="116" t="s">
        <v>174</v>
      </c>
      <c r="C143" s="63" t="s">
        <v>132</v>
      </c>
      <c r="D143" s="65" t="s">
        <v>161</v>
      </c>
      <c r="E143" s="55">
        <v>169532.2</v>
      </c>
      <c r="F143" s="55">
        <v>1056492</v>
      </c>
      <c r="G143" s="55">
        <v>331395.6</v>
      </c>
      <c r="H143" s="55">
        <f>342627.9-534.3</f>
        <v>342093.60000000003</v>
      </c>
      <c r="I143" s="54">
        <f t="shared" si="11"/>
        <v>10698.000000000058</v>
      </c>
      <c r="J143" s="99">
        <f t="shared" si="12"/>
        <v>103.22816597444265</v>
      </c>
      <c r="K143" s="101">
        <f t="shared" si="9"/>
        <v>-714398.3999999999</v>
      </c>
      <c r="L143" s="104">
        <f t="shared" si="10"/>
        <v>32.38014107063755</v>
      </c>
      <c r="M143" s="101">
        <v>1056492</v>
      </c>
    </row>
    <row r="144" spans="1:13" ht="31.5">
      <c r="A144" s="114"/>
      <c r="B144" s="115"/>
      <c r="C144" s="4" t="s">
        <v>54</v>
      </c>
      <c r="D144" s="23" t="s">
        <v>109</v>
      </c>
      <c r="E144" s="55"/>
      <c r="F144" s="55">
        <v>13857</v>
      </c>
      <c r="G144" s="55">
        <v>3464.3</v>
      </c>
      <c r="H144" s="55">
        <v>3420.6</v>
      </c>
      <c r="I144" s="54">
        <f t="shared" si="11"/>
        <v>-43.70000000000027</v>
      </c>
      <c r="J144" s="99">
        <f t="shared" si="12"/>
        <v>98.7385619028375</v>
      </c>
      <c r="K144" s="101">
        <f t="shared" si="9"/>
        <v>-10436.4</v>
      </c>
      <c r="L144" s="104">
        <f t="shared" si="10"/>
        <v>24.68499675254384</v>
      </c>
      <c r="M144" s="101">
        <v>13857</v>
      </c>
    </row>
    <row r="145" spans="1:13" ht="31.5">
      <c r="A145" s="114"/>
      <c r="B145" s="115"/>
      <c r="C145" s="4" t="s">
        <v>114</v>
      </c>
      <c r="D145" s="25" t="s">
        <v>119</v>
      </c>
      <c r="E145" s="55"/>
      <c r="F145" s="55"/>
      <c r="G145" s="55"/>
      <c r="H145" s="55">
        <v>89.5</v>
      </c>
      <c r="I145" s="54">
        <f t="shared" si="11"/>
        <v>89.5</v>
      </c>
      <c r="J145" s="99"/>
      <c r="K145" s="101">
        <f t="shared" si="9"/>
        <v>89.5</v>
      </c>
      <c r="L145" s="104"/>
      <c r="M145" s="101">
        <v>89.5</v>
      </c>
    </row>
    <row r="146" spans="1:13" ht="47.25">
      <c r="A146" s="114"/>
      <c r="B146" s="115"/>
      <c r="C146" s="63" t="s">
        <v>134</v>
      </c>
      <c r="D146" s="64" t="s">
        <v>135</v>
      </c>
      <c r="E146" s="55">
        <v>151831</v>
      </c>
      <c r="F146" s="55">
        <v>703715</v>
      </c>
      <c r="G146" s="55">
        <v>274654</v>
      </c>
      <c r="H146" s="55">
        <v>192617</v>
      </c>
      <c r="I146" s="54">
        <f t="shared" si="11"/>
        <v>-82037</v>
      </c>
      <c r="J146" s="99">
        <f t="shared" si="12"/>
        <v>70.13078273027155</v>
      </c>
      <c r="K146" s="101">
        <f t="shared" si="9"/>
        <v>-511098</v>
      </c>
      <c r="L146" s="104">
        <f t="shared" si="10"/>
        <v>27.371450089880135</v>
      </c>
      <c r="M146" s="101">
        <v>500000</v>
      </c>
    </row>
    <row r="147" spans="1:13" ht="15.75">
      <c r="A147" s="114"/>
      <c r="B147" s="115"/>
      <c r="C147" s="4" t="s">
        <v>81</v>
      </c>
      <c r="D147" s="23" t="s">
        <v>82</v>
      </c>
      <c r="E147" s="55">
        <v>4921.8</v>
      </c>
      <c r="F147" s="55"/>
      <c r="G147" s="55"/>
      <c r="H147" s="55">
        <v>6193.4</v>
      </c>
      <c r="I147" s="54">
        <f t="shared" si="11"/>
        <v>6193.4</v>
      </c>
      <c r="J147" s="99"/>
      <c r="K147" s="101">
        <f t="shared" si="9"/>
        <v>6193.4</v>
      </c>
      <c r="L147" s="104"/>
      <c r="M147" s="101"/>
    </row>
    <row r="148" spans="1:13" s="16" customFormat="1" ht="15.75">
      <c r="A148" s="115"/>
      <c r="B148" s="115"/>
      <c r="C148" s="32"/>
      <c r="D148" s="26" t="s">
        <v>21</v>
      </c>
      <c r="E148" s="60">
        <f>SUM(E143:E147)</f>
        <v>326285</v>
      </c>
      <c r="F148" s="60">
        <f>SUM(F143:F147)</f>
        <v>1774064</v>
      </c>
      <c r="G148" s="60">
        <f>SUM(G143:G147)</f>
        <v>609513.8999999999</v>
      </c>
      <c r="H148" s="60">
        <f>SUM(H143:H147)</f>
        <v>544414.1</v>
      </c>
      <c r="I148" s="85">
        <f t="shared" si="11"/>
        <v>-65099.79999999993</v>
      </c>
      <c r="J148" s="100">
        <f t="shared" si="12"/>
        <v>89.31939041915206</v>
      </c>
      <c r="K148" s="102">
        <f t="shared" si="9"/>
        <v>-1229649.9</v>
      </c>
      <c r="L148" s="105">
        <f t="shared" si="10"/>
        <v>30.6873991017235</v>
      </c>
      <c r="M148" s="106">
        <f>SUM(M143:M147)</f>
        <v>1570438.5</v>
      </c>
    </row>
    <row r="149" spans="1:13" ht="31.5">
      <c r="A149" s="116"/>
      <c r="B149" s="116" t="s">
        <v>175</v>
      </c>
      <c r="C149" s="4" t="s">
        <v>114</v>
      </c>
      <c r="D149" s="25" t="s">
        <v>119</v>
      </c>
      <c r="E149" s="59">
        <v>25.8</v>
      </c>
      <c r="F149" s="55"/>
      <c r="G149" s="55"/>
      <c r="H149" s="55">
        <v>7.5</v>
      </c>
      <c r="I149" s="54">
        <f t="shared" si="11"/>
        <v>7.5</v>
      </c>
      <c r="J149" s="99"/>
      <c r="K149" s="101">
        <f t="shared" si="9"/>
        <v>7.5</v>
      </c>
      <c r="L149" s="104"/>
      <c r="M149" s="101">
        <v>7.5</v>
      </c>
    </row>
    <row r="150" spans="1:13" ht="15.75">
      <c r="A150" s="116"/>
      <c r="B150" s="116"/>
      <c r="C150" s="4" t="s">
        <v>77</v>
      </c>
      <c r="D150" s="23" t="s">
        <v>78</v>
      </c>
      <c r="E150" s="59">
        <v>14803.3</v>
      </c>
      <c r="F150" s="55">
        <f>452.5+217+1500+5+8000+13200+1610+1300+8880.6</f>
        <v>35165.1</v>
      </c>
      <c r="G150" s="55">
        <v>16841.2</v>
      </c>
      <c r="H150" s="55">
        <f>24266+493.7-103.9-915.5</f>
        <v>23740.3</v>
      </c>
      <c r="I150" s="54">
        <f t="shared" si="11"/>
        <v>6899.0999999999985</v>
      </c>
      <c r="J150" s="99">
        <f t="shared" si="12"/>
        <v>140.96560815143812</v>
      </c>
      <c r="K150" s="101">
        <f t="shared" si="9"/>
        <v>-11424.8</v>
      </c>
      <c r="L150" s="104">
        <f t="shared" si="10"/>
        <v>67.51096968300958</v>
      </c>
      <c r="M150" s="101">
        <f>43505.1-1500</f>
        <v>42005.1</v>
      </c>
    </row>
    <row r="151" spans="1:13" ht="15.75">
      <c r="A151" s="119"/>
      <c r="B151" s="119"/>
      <c r="C151" s="4" t="s">
        <v>79</v>
      </c>
      <c r="D151" s="23" t="s">
        <v>80</v>
      </c>
      <c r="E151" s="59">
        <v>-235.3</v>
      </c>
      <c r="F151" s="55"/>
      <c r="G151" s="55"/>
      <c r="H151" s="55">
        <v>22.8</v>
      </c>
      <c r="I151" s="54">
        <f t="shared" si="11"/>
        <v>22.8</v>
      </c>
      <c r="J151" s="99"/>
      <c r="K151" s="101">
        <f t="shared" si="9"/>
        <v>22.8</v>
      </c>
      <c r="L151" s="104"/>
      <c r="M151" s="101">
        <v>22.8</v>
      </c>
    </row>
    <row r="152" spans="1:13" ht="15.75">
      <c r="A152" s="119"/>
      <c r="B152" s="119"/>
      <c r="C152" s="4" t="s">
        <v>74</v>
      </c>
      <c r="D152" s="23" t="s">
        <v>75</v>
      </c>
      <c r="E152" s="59"/>
      <c r="F152" s="55">
        <v>-798.8</v>
      </c>
      <c r="G152" s="55">
        <v>-798.8</v>
      </c>
      <c r="H152" s="55">
        <v>-798.8</v>
      </c>
      <c r="I152" s="54">
        <f t="shared" si="11"/>
        <v>0</v>
      </c>
      <c r="J152" s="99">
        <f t="shared" si="12"/>
        <v>100</v>
      </c>
      <c r="K152" s="101">
        <f t="shared" si="9"/>
        <v>0</v>
      </c>
      <c r="L152" s="104">
        <f t="shared" si="10"/>
        <v>100</v>
      </c>
      <c r="M152" s="55">
        <v>-798.8</v>
      </c>
    </row>
    <row r="153" spans="1:13" ht="15.75">
      <c r="A153" s="119"/>
      <c r="B153" s="119"/>
      <c r="C153" s="4" t="s">
        <v>87</v>
      </c>
      <c r="D153" s="23" t="s">
        <v>152</v>
      </c>
      <c r="E153" s="59">
        <v>57157.32</v>
      </c>
      <c r="F153" s="55">
        <v>12870</v>
      </c>
      <c r="G153" s="55">
        <v>12870</v>
      </c>
      <c r="H153" s="55">
        <v>7722</v>
      </c>
      <c r="I153" s="54">
        <f t="shared" si="11"/>
        <v>-5148</v>
      </c>
      <c r="J153" s="99">
        <f t="shared" si="12"/>
        <v>60</v>
      </c>
      <c r="K153" s="101">
        <f t="shared" si="9"/>
        <v>-5148</v>
      </c>
      <c r="L153" s="104">
        <f t="shared" si="10"/>
        <v>60</v>
      </c>
      <c r="M153" s="55">
        <v>12870</v>
      </c>
    </row>
    <row r="154" spans="1:13" ht="15.75">
      <c r="A154" s="119"/>
      <c r="B154" s="119"/>
      <c r="C154" s="4" t="s">
        <v>142</v>
      </c>
      <c r="D154" s="23" t="s">
        <v>151</v>
      </c>
      <c r="E154" s="59">
        <v>1295938.6</v>
      </c>
      <c r="F154" s="55">
        <v>40461.5</v>
      </c>
      <c r="G154" s="55">
        <v>20760</v>
      </c>
      <c r="H154" s="55">
        <v>4370.9</v>
      </c>
      <c r="I154" s="54">
        <f t="shared" si="11"/>
        <v>-16389.1</v>
      </c>
      <c r="J154" s="99">
        <f t="shared" si="12"/>
        <v>21.054431599229282</v>
      </c>
      <c r="K154" s="101">
        <f t="shared" si="9"/>
        <v>-36090.6</v>
      </c>
      <c r="L154" s="104">
        <f t="shared" si="10"/>
        <v>10.802614831382918</v>
      </c>
      <c r="M154" s="55">
        <v>40461.5</v>
      </c>
    </row>
    <row r="155" spans="1:13" s="16" customFormat="1" ht="15.75">
      <c r="A155" s="119"/>
      <c r="B155" s="119"/>
      <c r="C155" s="32"/>
      <c r="D155" s="26" t="s">
        <v>21</v>
      </c>
      <c r="E155" s="60">
        <f>SUM(E149:E154)</f>
        <v>1367689.7200000002</v>
      </c>
      <c r="F155" s="60">
        <f>SUM(F149:F154)</f>
        <v>87697.79999999999</v>
      </c>
      <c r="G155" s="60">
        <f>SUM(G149:G154)</f>
        <v>49672.4</v>
      </c>
      <c r="H155" s="60">
        <f>SUM(H149:H154)</f>
        <v>35064.7</v>
      </c>
      <c r="I155" s="85">
        <f t="shared" si="11"/>
        <v>-14607.700000000004</v>
      </c>
      <c r="J155" s="100">
        <f t="shared" si="12"/>
        <v>70.59191824836327</v>
      </c>
      <c r="K155" s="101">
        <f t="shared" si="9"/>
        <v>-52633.09999999999</v>
      </c>
      <c r="L155" s="104">
        <f t="shared" si="10"/>
        <v>39.983557170191276</v>
      </c>
      <c r="M155" s="106">
        <f>SUM(M149:M154)</f>
        <v>94568.1</v>
      </c>
    </row>
    <row r="156" spans="1:13" s="16" customFormat="1" ht="15.75">
      <c r="A156" s="20"/>
      <c r="B156" s="20"/>
      <c r="C156" s="32"/>
      <c r="D156" s="17" t="s">
        <v>92</v>
      </c>
      <c r="E156" s="60">
        <f>E18+E27+E32+E36+E39+E47+E54+E59+E69+E77+E84+E92+E99+E107+E115+E125+E131+E136+E148+E155+E142</f>
        <v>6689959.550000001</v>
      </c>
      <c r="F156" s="60">
        <f>F18+F27+F32+F36+F39+F47+F54+F59+F69+F77+F84+F92+F99+F107+F115+F125+F131+F136+F148+F155+F142</f>
        <v>19056520</v>
      </c>
      <c r="G156" s="60">
        <f>G18+G27+G32+G36+G39+G47+G54+G59+G69+G77+G84+G92+G99+G107+G115+G125+G131+G136+G148+G155+G142</f>
        <v>8075392.900000002</v>
      </c>
      <c r="H156" s="60">
        <f>H18+H27+H32+H36+H39+H47+H54+H59+H69+H77+H84+H92+H99+H107+H115+H125+H131+H136+H148+H155+H142</f>
        <v>7872217.300489998</v>
      </c>
      <c r="I156" s="85">
        <f t="shared" si="11"/>
        <v>-203175.5995100038</v>
      </c>
      <c r="J156" s="100">
        <f t="shared" si="12"/>
        <v>97.48401592311374</v>
      </c>
      <c r="K156" s="102">
        <f t="shared" si="9"/>
        <v>-11184302.69951</v>
      </c>
      <c r="L156" s="105">
        <f t="shared" si="10"/>
        <v>41.30983674086349</v>
      </c>
      <c r="M156" s="60">
        <f>M18+M27+M32+M36+M39+M47+M54+M59+M69+M77+M84+M92+M99+M107+M115+M125+M131+M136+M148+M155+M142</f>
        <v>19476780.600000005</v>
      </c>
    </row>
    <row r="157" spans="1:13" ht="15.75">
      <c r="A157" s="21"/>
      <c r="B157" s="21"/>
      <c r="C157" s="47"/>
      <c r="D157" s="48"/>
      <c r="E157" s="73"/>
      <c r="F157" s="71"/>
      <c r="G157" s="62"/>
      <c r="H157" s="71"/>
      <c r="I157" s="54"/>
      <c r="J157" s="100"/>
      <c r="K157" s="101">
        <f t="shared" si="9"/>
        <v>0</v>
      </c>
      <c r="L157" s="104"/>
      <c r="M157" s="101"/>
    </row>
    <row r="158" spans="1:13" s="16" customFormat="1" ht="31.5">
      <c r="A158" s="35"/>
      <c r="B158" s="36"/>
      <c r="C158" s="22"/>
      <c r="D158" s="27" t="s">
        <v>93</v>
      </c>
      <c r="E158" s="62">
        <f>E160</f>
        <v>14170</v>
      </c>
      <c r="F158" s="62">
        <f>F160</f>
        <v>29220.9</v>
      </c>
      <c r="G158" s="62">
        <f>G160</f>
        <v>27622</v>
      </c>
      <c r="H158" s="62">
        <f>H160</f>
        <v>27500</v>
      </c>
      <c r="I158" s="85">
        <f t="shared" si="11"/>
        <v>-122</v>
      </c>
      <c r="J158" s="100">
        <f t="shared" si="12"/>
        <v>99.55832307580914</v>
      </c>
      <c r="K158" s="102">
        <f t="shared" si="9"/>
        <v>-1720.9000000000015</v>
      </c>
      <c r="L158" s="102">
        <f t="shared" si="10"/>
        <v>94.11072212012634</v>
      </c>
      <c r="M158" s="62">
        <f>M160</f>
        <v>29220.9</v>
      </c>
    </row>
    <row r="159" spans="1:13" ht="31.5">
      <c r="A159" s="143" t="s">
        <v>38</v>
      </c>
      <c r="B159" s="145" t="s">
        <v>137</v>
      </c>
      <c r="C159" s="63" t="s">
        <v>136</v>
      </c>
      <c r="D159" s="64" t="s">
        <v>140</v>
      </c>
      <c r="E159" s="56">
        <v>14170</v>
      </c>
      <c r="F159" s="56">
        <v>29220.9</v>
      </c>
      <c r="G159" s="56">
        <v>27622</v>
      </c>
      <c r="H159" s="56">
        <v>27500</v>
      </c>
      <c r="I159" s="54">
        <f t="shared" si="11"/>
        <v>-122</v>
      </c>
      <c r="J159" s="99">
        <f t="shared" si="12"/>
        <v>99.55832307580914</v>
      </c>
      <c r="K159" s="101">
        <f t="shared" si="9"/>
        <v>-1720.9000000000015</v>
      </c>
      <c r="L159" s="101">
        <f t="shared" si="10"/>
        <v>94.11072212012634</v>
      </c>
      <c r="M159" s="56">
        <v>29220.9</v>
      </c>
    </row>
    <row r="160" spans="1:13" s="16" customFormat="1" ht="15.75">
      <c r="A160" s="151"/>
      <c r="B160" s="151"/>
      <c r="C160" s="22"/>
      <c r="D160" s="26" t="s">
        <v>21</v>
      </c>
      <c r="E160" s="62">
        <f>SUM(E159:E159)</f>
        <v>14170</v>
      </c>
      <c r="F160" s="62">
        <f>SUM(F159:F159)</f>
        <v>29220.9</v>
      </c>
      <c r="G160" s="62">
        <f>SUM(G159:G159)</f>
        <v>27622</v>
      </c>
      <c r="H160" s="62">
        <f>SUM(H159:H159)</f>
        <v>27500</v>
      </c>
      <c r="I160" s="85">
        <f t="shared" si="11"/>
        <v>-122</v>
      </c>
      <c r="J160" s="100">
        <f t="shared" si="12"/>
        <v>99.55832307580914</v>
      </c>
      <c r="K160" s="102">
        <f t="shared" si="9"/>
        <v>-1720.9000000000015</v>
      </c>
      <c r="L160" s="102">
        <f t="shared" si="10"/>
        <v>94.11072212012634</v>
      </c>
      <c r="M160" s="62">
        <f>SUM(M159:M159)</f>
        <v>29220.9</v>
      </c>
    </row>
    <row r="161" spans="1:13" ht="15.75">
      <c r="A161" s="21"/>
      <c r="B161" s="21"/>
      <c r="C161" s="47"/>
      <c r="D161" s="48"/>
      <c r="E161" s="73"/>
      <c r="F161" s="71"/>
      <c r="G161" s="71"/>
      <c r="H161" s="71"/>
      <c r="I161" s="71"/>
      <c r="J161" s="71"/>
      <c r="K161" s="97"/>
      <c r="L161" s="97"/>
      <c r="M161" s="52"/>
    </row>
    <row r="162" spans="1:13" ht="15.75">
      <c r="A162" s="21"/>
      <c r="B162" s="21"/>
      <c r="C162" s="47"/>
      <c r="D162" s="48" t="s">
        <v>123</v>
      </c>
      <c r="E162" s="73"/>
      <c r="F162" s="71"/>
      <c r="G162" s="71"/>
      <c r="H162" s="71"/>
      <c r="I162" s="71"/>
      <c r="J162" s="71"/>
      <c r="K162" s="97"/>
      <c r="L162" s="97"/>
      <c r="M162" s="52"/>
    </row>
    <row r="163" spans="1:13" ht="15.75">
      <c r="A163" s="21"/>
      <c r="B163" s="21"/>
      <c r="C163" s="47"/>
      <c r="D163" s="48"/>
      <c r="E163" s="73"/>
      <c r="F163" s="71"/>
      <c r="G163" s="71"/>
      <c r="H163" s="71"/>
      <c r="I163" s="71"/>
      <c r="J163" s="88"/>
      <c r="K163" s="88"/>
      <c r="L163" s="88"/>
      <c r="M163" s="88" t="s">
        <v>0</v>
      </c>
    </row>
    <row r="164" spans="1:13" s="16" customFormat="1" ht="15.75">
      <c r="A164" s="20"/>
      <c r="B164" s="20"/>
      <c r="C164" s="32"/>
      <c r="D164" s="27" t="s">
        <v>6</v>
      </c>
      <c r="E164" s="60">
        <f>SUM(E165:E176)</f>
        <v>3134524.5</v>
      </c>
      <c r="F164" s="60">
        <f>SUM(F165:F176)</f>
        <v>8577108.7</v>
      </c>
      <c r="G164" s="60">
        <f>SUM(G165:G176)</f>
        <v>3725295.8000000003</v>
      </c>
      <c r="H164" s="60">
        <f>SUM(H165:H176)</f>
        <v>3918546.6999999997</v>
      </c>
      <c r="I164" s="62">
        <f>H164-G164</f>
        <v>193250.89999999944</v>
      </c>
      <c r="J164" s="57">
        <f aca="true" t="shared" si="13" ref="J164:J170">H164/G164*100</f>
        <v>105.18753168540333</v>
      </c>
      <c r="K164" s="102">
        <f t="shared" si="9"/>
        <v>-4658562</v>
      </c>
      <c r="L164" s="102">
        <f t="shared" si="10"/>
        <v>45.686102823903816</v>
      </c>
      <c r="M164" s="60">
        <f>SUM(M165:M176)</f>
        <v>9124299.5</v>
      </c>
    </row>
    <row r="165" spans="1:13" ht="15.75">
      <c r="A165" s="20"/>
      <c r="B165" s="20"/>
      <c r="C165" s="4" t="s">
        <v>9</v>
      </c>
      <c r="D165" s="23" t="s">
        <v>10</v>
      </c>
      <c r="E165" s="59">
        <f>SUMIF($C$8:$C$159,$C165,E$8:E$159)</f>
        <v>1717314.3</v>
      </c>
      <c r="F165" s="59">
        <f>SUMIF($C$8:$C$159,$C165,F$8:F$159)</f>
        <v>5757879.3</v>
      </c>
      <c r="G165" s="59">
        <f>SUMIF($C$8:$C$159,$C165,G$8:G$159)</f>
        <v>2441829.5</v>
      </c>
      <c r="H165" s="59">
        <f>SUMIF($C$8:$C$159,$C165,H$8:H$159)</f>
        <v>2520747.9</v>
      </c>
      <c r="I165" s="54">
        <f aca="true" t="shared" si="14" ref="I165:I204">H165-G165</f>
        <v>78918.3999999999</v>
      </c>
      <c r="J165" s="55">
        <f t="shared" si="13"/>
        <v>103.23193736499621</v>
      </c>
      <c r="K165" s="101">
        <f t="shared" si="9"/>
        <v>-3237131.4</v>
      </c>
      <c r="L165" s="101">
        <f t="shared" si="10"/>
        <v>43.77910283739362</v>
      </c>
      <c r="M165" s="59">
        <f>SUMIF($C$8:$C$159,$C165,M$8:M$159)</f>
        <v>6062928.5</v>
      </c>
    </row>
    <row r="166" spans="1:13" ht="15.75">
      <c r="A166" s="20"/>
      <c r="B166" s="20"/>
      <c r="C166" s="4" t="s">
        <v>11</v>
      </c>
      <c r="D166" s="23" t="s">
        <v>120</v>
      </c>
      <c r="E166" s="59">
        <f>SUMIF($C$8:$C$159,$C166,E$8:E$159)</f>
        <v>201526</v>
      </c>
      <c r="F166" s="59">
        <f>SUMIF($C$8:$C$159,$C166,F$8:F$159)</f>
        <v>431806</v>
      </c>
      <c r="G166" s="59">
        <f>SUMIF($C$8:$C$159,$C166,G$8:G$159)</f>
        <v>204114.6</v>
      </c>
      <c r="H166" s="59">
        <f>SUMIF($C$8:$C$159,$C166,H$8:H$159)</f>
        <v>211086.3</v>
      </c>
      <c r="I166" s="54">
        <f t="shared" si="14"/>
        <v>6971.6999999999825</v>
      </c>
      <c r="J166" s="55">
        <f t="shared" si="13"/>
        <v>103.41558124700533</v>
      </c>
      <c r="K166" s="101">
        <f t="shared" si="9"/>
        <v>-220719.7</v>
      </c>
      <c r="L166" s="101">
        <f t="shared" si="10"/>
        <v>48.88452221599514</v>
      </c>
      <c r="M166" s="59">
        <f>SUMIF($C$8:$C$159,$C166,M$8:M$159)</f>
        <v>436225</v>
      </c>
    </row>
    <row r="167" spans="1:13" ht="15.75">
      <c r="A167" s="20"/>
      <c r="B167" s="20"/>
      <c r="C167" s="4" t="s">
        <v>12</v>
      </c>
      <c r="D167" s="23" t="s">
        <v>13</v>
      </c>
      <c r="E167" s="59">
        <f>SUMIF($C$8:$C$159,$C167,E$8:E$159)</f>
        <v>10</v>
      </c>
      <c r="F167" s="59">
        <f>SUMIF($C$8:$C$159,$C167,F$8:F$159)</f>
        <v>1208</v>
      </c>
      <c r="G167" s="59">
        <f>SUMIF($C$8:$C$159,$C167,G$8:G$159)</f>
        <v>609.5</v>
      </c>
      <c r="H167" s="59">
        <f>SUMIF($C$8:$C$159,$C167,H$8:H$159)</f>
        <v>66.4</v>
      </c>
      <c r="I167" s="54">
        <f t="shared" si="14"/>
        <v>-543.1</v>
      </c>
      <c r="J167" s="55">
        <f t="shared" si="13"/>
        <v>10.894175553732568</v>
      </c>
      <c r="K167" s="101">
        <f t="shared" si="9"/>
        <v>-1141.6</v>
      </c>
      <c r="L167" s="101">
        <f t="shared" si="10"/>
        <v>5.496688741721855</v>
      </c>
      <c r="M167" s="59">
        <f>SUMIF($C$8:$C$159,$C167,M$8:M$159)</f>
        <v>605.7</v>
      </c>
    </row>
    <row r="168" spans="1:13" ht="15.75">
      <c r="A168" s="20"/>
      <c r="B168" s="20"/>
      <c r="C168" s="4" t="s">
        <v>14</v>
      </c>
      <c r="D168" s="23" t="s">
        <v>15</v>
      </c>
      <c r="E168" s="59">
        <f>SUMIF($C$8:$C$159,$C168,E$8:E$159)</f>
        <v>13140.3</v>
      </c>
      <c r="F168" s="59">
        <f>SUMIF($C$8:$C$159,$C168,F$8:F$159)</f>
        <v>110629.4</v>
      </c>
      <c r="G168" s="59">
        <f>SUMIF($C$8:$C$159,$C168,G$8:G$159)</f>
        <v>19864.6</v>
      </c>
      <c r="H168" s="59">
        <f>SUMIF($C$8:$C$159,$C168,H$8:H$159)</f>
        <v>19973.4</v>
      </c>
      <c r="I168" s="54">
        <f t="shared" si="14"/>
        <v>108.80000000000291</v>
      </c>
      <c r="J168" s="99">
        <f t="shared" si="13"/>
        <v>100.54770798304521</v>
      </c>
      <c r="K168" s="101">
        <f t="shared" si="9"/>
        <v>-90656</v>
      </c>
      <c r="L168" s="104">
        <f t="shared" si="10"/>
        <v>18.05433275422266</v>
      </c>
      <c r="M168" s="59">
        <f>SUMIF($C$8:$C$159,$C168,M$8:M$159)</f>
        <v>113391</v>
      </c>
    </row>
    <row r="169" spans="1:13" ht="15.75">
      <c r="A169" s="20"/>
      <c r="B169" s="20"/>
      <c r="C169" s="4" t="s">
        <v>16</v>
      </c>
      <c r="D169" s="23" t="s">
        <v>17</v>
      </c>
      <c r="E169" s="59">
        <f>SUMIF($C$8:$C$159,$C169,E$8:E$159)</f>
        <v>1112696.9</v>
      </c>
      <c r="F169" s="59">
        <f>SUMIF($C$8:$C$159,$C169,F$8:F$159)</f>
        <v>2131261</v>
      </c>
      <c r="G169" s="59">
        <f>SUMIF($C$8:$C$159,$C169,G$8:G$159)</f>
        <v>992993.6</v>
      </c>
      <c r="H169" s="59">
        <f>SUMIF($C$8:$C$159,$C169,H$8:H$159)</f>
        <v>1056159.6</v>
      </c>
      <c r="I169" s="54">
        <f t="shared" si="14"/>
        <v>63166.00000000012</v>
      </c>
      <c r="J169" s="99">
        <f t="shared" si="13"/>
        <v>106.3611688937371</v>
      </c>
      <c r="K169" s="101">
        <f t="shared" si="9"/>
        <v>-1075101.4</v>
      </c>
      <c r="L169" s="104">
        <f t="shared" si="10"/>
        <v>49.55561988888269</v>
      </c>
      <c r="M169" s="59">
        <f>SUMIF($C$8:$C$159,$C169,M$8:M$159)</f>
        <v>2320048</v>
      </c>
    </row>
    <row r="170" spans="1:13" ht="15.75">
      <c r="A170" s="20"/>
      <c r="B170" s="20"/>
      <c r="C170" s="4" t="s">
        <v>115</v>
      </c>
      <c r="D170" s="23" t="s">
        <v>18</v>
      </c>
      <c r="E170" s="59">
        <f>SUMIF($C$8:$C$159,$C170,E$8:E$159)</f>
        <v>16316.2</v>
      </c>
      <c r="F170" s="59">
        <f>SUMIF($C$8:$C$159,$C170,F$8:F$159)</f>
        <v>35895</v>
      </c>
      <c r="G170" s="59">
        <f>SUMIF($C$8:$C$159,$C170,G$8:G$159)</f>
        <v>15746</v>
      </c>
      <c r="H170" s="59">
        <f>SUMIF($C$8:$C$159,$C170,H$8:H$159)</f>
        <v>20988.5</v>
      </c>
      <c r="I170" s="54">
        <f t="shared" si="14"/>
        <v>5242.5</v>
      </c>
      <c r="J170" s="99">
        <f t="shared" si="13"/>
        <v>133.29416994792328</v>
      </c>
      <c r="K170" s="101">
        <f t="shared" si="9"/>
        <v>-14906.5</v>
      </c>
      <c r="L170" s="104">
        <f t="shared" si="10"/>
        <v>58.47193202395877</v>
      </c>
      <c r="M170" s="59">
        <f>SUMIF($C$8:$C$159,$C170,M$8:M$159)</f>
        <v>41051.9</v>
      </c>
    </row>
    <row r="171" spans="1:13" ht="78.75">
      <c r="A171" s="20"/>
      <c r="B171" s="20"/>
      <c r="C171" s="90" t="s">
        <v>183</v>
      </c>
      <c r="D171" s="89" t="s">
        <v>184</v>
      </c>
      <c r="E171" s="59">
        <f>SUMIF($C$8:$C$159,$C171,E$8:E$159)</f>
        <v>185</v>
      </c>
      <c r="F171" s="59">
        <f>SUMIF($C$8:$C$159,$C171,F$8:F$159)</f>
        <v>198</v>
      </c>
      <c r="G171" s="59">
        <f>SUMIF($C$8:$C$159,$C171,G$8:G$159)</f>
        <v>55</v>
      </c>
      <c r="H171" s="59">
        <f>SUMIF($C$8:$C$159,$C171,H$8:H$159)</f>
        <v>135.9</v>
      </c>
      <c r="I171" s="54">
        <f>H171-G171</f>
        <v>80.9</v>
      </c>
      <c r="J171" s="99">
        <f>H171/G171*100</f>
        <v>247.09090909090912</v>
      </c>
      <c r="K171" s="101">
        <f>H171-F171</f>
        <v>-62.099999999999994</v>
      </c>
      <c r="L171" s="104">
        <f>H171/F171*100</f>
        <v>68.63636363636364</v>
      </c>
      <c r="M171" s="59">
        <f>SUMIF($C$8:$C$159,$C171,M$8:M$159)</f>
        <v>350.4</v>
      </c>
    </row>
    <row r="172" spans="1:13" ht="31.5">
      <c r="A172" s="20"/>
      <c r="B172" s="20"/>
      <c r="C172" s="90" t="s">
        <v>185</v>
      </c>
      <c r="D172" s="89" t="s">
        <v>186</v>
      </c>
      <c r="E172" s="59">
        <f>SUMIF($C$8:$C$159,$C172,E$8:E$159)</f>
        <v>0</v>
      </c>
      <c r="F172" s="59">
        <f>SUMIF($C$8:$C$159,$C172,F$8:F$159)</f>
        <v>0</v>
      </c>
      <c r="G172" s="59">
        <f>SUMIF($C$8:$C$159,$C172,G$8:G$159)</f>
        <v>0</v>
      </c>
      <c r="H172" s="59">
        <f>SUMIF($C$8:$C$159,$C172,H$8:H$159)</f>
        <v>0</v>
      </c>
      <c r="I172" s="54">
        <f>H172-G172</f>
        <v>0</v>
      </c>
      <c r="J172" s="99"/>
      <c r="K172" s="101">
        <f>H172-F172</f>
        <v>0</v>
      </c>
      <c r="L172" s="104"/>
      <c r="M172" s="59">
        <f>SUMIF($C$8:$C$159,$C172,M$8:M$159)</f>
        <v>0</v>
      </c>
    </row>
    <row r="173" spans="1:13" ht="78.75">
      <c r="A173" s="20"/>
      <c r="B173" s="20"/>
      <c r="C173" s="91" t="s">
        <v>176</v>
      </c>
      <c r="D173" s="89" t="s">
        <v>187</v>
      </c>
      <c r="E173" s="59">
        <f>SUMIF($C$8:$C$159,$C173,E$8:E$159)</f>
        <v>0</v>
      </c>
      <c r="F173" s="59">
        <f>SUMIF($C$8:$C$159,$C173,F$8:F$159)</f>
        <v>0</v>
      </c>
      <c r="G173" s="59">
        <f>SUMIF($C$8:$C$159,$C173,G$8:G$159)</f>
        <v>0</v>
      </c>
      <c r="H173" s="59">
        <f>SUMIF($C$8:$C$159,$C173,H$8:H$159)</f>
        <v>103.9</v>
      </c>
      <c r="I173" s="54">
        <f>H173-G173</f>
        <v>103.9</v>
      </c>
      <c r="J173" s="99"/>
      <c r="K173" s="101">
        <f>H173-F173</f>
        <v>103.9</v>
      </c>
      <c r="L173" s="104"/>
      <c r="M173" s="59">
        <f>SUMIF($C$8:$C$159,$C173,M$8:M$159)</f>
        <v>105</v>
      </c>
    </row>
    <row r="174" spans="1:13" ht="15.75">
      <c r="A174" s="20"/>
      <c r="B174" s="20"/>
      <c r="C174" s="4" t="s">
        <v>24</v>
      </c>
      <c r="D174" s="23" t="s">
        <v>25</v>
      </c>
      <c r="E174" s="59">
        <f>SUMIF($C$8:$C$159,$C174,E$8:E$159)</f>
        <v>45639.5</v>
      </c>
      <c r="F174" s="59">
        <f>SUMIF($C$8:$C$159,$C174,F$8:F$159)</f>
        <v>107932</v>
      </c>
      <c r="G174" s="59">
        <f>SUMIF($C$8:$C$159,$C174,G$8:G$159)</f>
        <v>49933</v>
      </c>
      <c r="H174" s="59">
        <f>SUMIF($C$8:$C$159,$C174,H$8:H$159)</f>
        <v>50390.600000000006</v>
      </c>
      <c r="I174" s="54">
        <f t="shared" si="14"/>
        <v>457.6000000000058</v>
      </c>
      <c r="J174" s="99">
        <f>H174/G174*100</f>
        <v>100.91642801353815</v>
      </c>
      <c r="K174" s="101">
        <f t="shared" si="9"/>
        <v>-57541.399999999994</v>
      </c>
      <c r="L174" s="104">
        <f t="shared" si="10"/>
        <v>46.687358707334255</v>
      </c>
      <c r="M174" s="59">
        <f>SUMIF($C$8:$C$159,$C174,M$8:M$159)</f>
        <v>109712.2</v>
      </c>
    </row>
    <row r="175" spans="1:13" ht="31.5">
      <c r="A175" s="20"/>
      <c r="B175" s="20"/>
      <c r="C175" s="4" t="s">
        <v>31</v>
      </c>
      <c r="D175" s="23" t="s">
        <v>32</v>
      </c>
      <c r="E175" s="59">
        <f>SUMIF($C$8:$C$159,$C175,E$8:E$159)</f>
        <v>2212.5</v>
      </c>
      <c r="F175" s="59">
        <f>SUMIF($C$8:$C$159,$C175,F$8:F$159)</f>
        <v>300</v>
      </c>
      <c r="G175" s="59">
        <f>SUMIF($C$8:$C$159,$C175,G$8:G$159)</f>
        <v>150</v>
      </c>
      <c r="H175" s="59">
        <f>SUMIF($C$8:$C$159,$C175,H$8:H$159)</f>
        <v>3664.5</v>
      </c>
      <c r="I175" s="54">
        <f t="shared" si="14"/>
        <v>3514.5</v>
      </c>
      <c r="J175" s="99">
        <f>H175/G175*100</f>
        <v>2443</v>
      </c>
      <c r="K175" s="101">
        <f t="shared" si="9"/>
        <v>3364.5</v>
      </c>
      <c r="L175" s="104">
        <f t="shared" si="10"/>
        <v>1221.5</v>
      </c>
      <c r="M175" s="59">
        <f>SUMIF($C$8:$C$159,$C175,M$8:M$159)</f>
        <v>4302</v>
      </c>
    </row>
    <row r="176" spans="1:13" ht="15.75">
      <c r="A176" s="20"/>
      <c r="B176" s="20"/>
      <c r="C176" s="4" t="s">
        <v>19</v>
      </c>
      <c r="D176" s="23" t="s">
        <v>20</v>
      </c>
      <c r="E176" s="59">
        <f>SUMIF($C$8:$C$159,$C176,E$8:E$159)</f>
        <v>25483.8</v>
      </c>
      <c r="F176" s="59">
        <f>SUMIF($C$8:$C$159,$C176,F$8:F$159)</f>
        <v>0</v>
      </c>
      <c r="G176" s="59">
        <f>SUMIF($C$8:$C$159,$C176,G$8:G$159)</f>
        <v>0</v>
      </c>
      <c r="H176" s="59">
        <f>SUMIF($C$8:$C$159,$C176,H$8:H$159)</f>
        <v>35229.7</v>
      </c>
      <c r="I176" s="54">
        <f t="shared" si="14"/>
        <v>35229.7</v>
      </c>
      <c r="J176" s="99"/>
      <c r="K176" s="101">
        <f t="shared" si="9"/>
        <v>35229.7</v>
      </c>
      <c r="L176" s="104"/>
      <c r="M176" s="59">
        <f>SUMIF($C$8:$C$159,$C176,M$8:M$159)</f>
        <v>35579.8</v>
      </c>
    </row>
    <row r="177" spans="1:13" s="16" customFormat="1" ht="15.75">
      <c r="A177" s="20"/>
      <c r="B177" s="20"/>
      <c r="C177" s="32"/>
      <c r="D177" s="27" t="s">
        <v>33</v>
      </c>
      <c r="E177" s="60">
        <f>SUM(E178:E194)</f>
        <v>1661145.03</v>
      </c>
      <c r="F177" s="60">
        <f>SUM(F178:F194)</f>
        <v>4408554.199999999</v>
      </c>
      <c r="G177" s="60">
        <f>SUM(G178:G194)</f>
        <v>2048368.2999999998</v>
      </c>
      <c r="H177" s="60">
        <f>SUM(H178:H194)</f>
        <v>1697260.9004900001</v>
      </c>
      <c r="I177" s="85">
        <f t="shared" si="14"/>
        <v>-351107.39950999967</v>
      </c>
      <c r="J177" s="100">
        <f>H177/G177*100</f>
        <v>82.85916651268232</v>
      </c>
      <c r="K177" s="102">
        <f t="shared" si="9"/>
        <v>-2711293.2995099993</v>
      </c>
      <c r="L177" s="105">
        <f t="shared" si="10"/>
        <v>38.49926355651929</v>
      </c>
      <c r="M177" s="60">
        <f>SUM(M178:M194)</f>
        <v>4283662</v>
      </c>
    </row>
    <row r="178" spans="1:13" ht="78.75">
      <c r="A178" s="20"/>
      <c r="B178" s="20"/>
      <c r="C178" s="63" t="s">
        <v>132</v>
      </c>
      <c r="D178" s="65" t="s">
        <v>133</v>
      </c>
      <c r="E178" s="59">
        <f>SUMIF($C$8:$C$159,$C178,E$8:E$159)</f>
        <v>563956.5</v>
      </c>
      <c r="F178" s="59">
        <f>SUMIF($C$8:$C$159,$C178,F$8:F$159)</f>
        <v>1518448</v>
      </c>
      <c r="G178" s="59">
        <f>SUMIF($C$8:$C$159,$C178,G$8:G$159)</f>
        <v>655020.3999999999</v>
      </c>
      <c r="H178" s="59">
        <f>SUMIF($C$8:$C$159,$C178,H$8:H$159)</f>
        <v>645503.5</v>
      </c>
      <c r="I178" s="54">
        <f t="shared" si="14"/>
        <v>-9516.899999999907</v>
      </c>
      <c r="J178" s="99">
        <f>H178/G178*100</f>
        <v>98.54708341908132</v>
      </c>
      <c r="K178" s="101">
        <f t="shared" si="9"/>
        <v>-872944.5</v>
      </c>
      <c r="L178" s="104">
        <f t="shared" si="10"/>
        <v>42.510741230519585</v>
      </c>
      <c r="M178" s="59">
        <f>SUMIF($C$8:$C$159,$C178,M$8:M$159)</f>
        <v>1518448</v>
      </c>
    </row>
    <row r="179" spans="1:13" ht="31.5">
      <c r="A179" s="20"/>
      <c r="B179" s="20"/>
      <c r="C179" s="4" t="s">
        <v>54</v>
      </c>
      <c r="D179" s="23" t="s">
        <v>109</v>
      </c>
      <c r="E179" s="59">
        <f>SUMIF($C$8:$C$159,$C179,E$8:E$159)</f>
        <v>0</v>
      </c>
      <c r="F179" s="59">
        <f>SUMIF($C$8:$C$159,$C179,F$8:F$159)</f>
        <v>13857</v>
      </c>
      <c r="G179" s="59">
        <f>SUMIF($C$8:$C$159,$C179,G$8:G$159)</f>
        <v>3464.3</v>
      </c>
      <c r="H179" s="59">
        <f>SUMIF($C$8:$C$159,$C179,H$8:H$159)</f>
        <v>3420.6</v>
      </c>
      <c r="I179" s="54">
        <f t="shared" si="14"/>
        <v>-43.70000000000027</v>
      </c>
      <c r="J179" s="99">
        <f>H179/G179*100</f>
        <v>98.7385619028375</v>
      </c>
      <c r="K179" s="101">
        <f t="shared" si="9"/>
        <v>-10436.4</v>
      </c>
      <c r="L179" s="104">
        <f t="shared" si="10"/>
        <v>24.68499675254384</v>
      </c>
      <c r="M179" s="59">
        <f>SUMIF($C$8:$C$159,$C179,M$8:M$159)</f>
        <v>13857</v>
      </c>
    </row>
    <row r="180" spans="1:13" ht="15.75">
      <c r="A180" s="20"/>
      <c r="B180" s="20"/>
      <c r="C180" s="4" t="s">
        <v>36</v>
      </c>
      <c r="D180" s="24" t="s">
        <v>37</v>
      </c>
      <c r="E180" s="59">
        <f>SUMIF($C$8:$C$159,$C180,E$8:E$159)</f>
        <v>306759.7</v>
      </c>
      <c r="F180" s="59">
        <f>SUMIF($C$8:$C$159,$C180,F$8:F$159)</f>
        <v>535769</v>
      </c>
      <c r="G180" s="59">
        <f>SUMIF($C$8:$C$159,$C180,G$8:G$159)</f>
        <v>270000</v>
      </c>
      <c r="H180" s="59">
        <f>SUMIF($C$8:$C$159,$C180,H$8:H$159)</f>
        <v>342576.3</v>
      </c>
      <c r="I180" s="54">
        <f t="shared" si="14"/>
        <v>72576.29999999999</v>
      </c>
      <c r="J180" s="99">
        <f>H180/G180*100</f>
        <v>126.8801111111111</v>
      </c>
      <c r="K180" s="101">
        <f t="shared" si="9"/>
        <v>-193192.7</v>
      </c>
      <c r="L180" s="104">
        <f t="shared" si="10"/>
        <v>63.94104548788751</v>
      </c>
      <c r="M180" s="59">
        <f>SUMIF($C$8:$C$159,$C180,M$8:M$159)</f>
        <v>535770.3</v>
      </c>
    </row>
    <row r="181" spans="1:13" ht="31.5">
      <c r="A181" s="20"/>
      <c r="B181" s="20"/>
      <c r="C181" s="4" t="s">
        <v>43</v>
      </c>
      <c r="D181" s="23" t="s">
        <v>44</v>
      </c>
      <c r="E181" s="59">
        <f>SUMIF($C$8:$C$159,$C181,E$8:E$159)</f>
        <v>3327.5</v>
      </c>
      <c r="F181" s="59">
        <f>SUMIF($C$8:$C$159,$C181,F$8:F$159)</f>
        <v>3792.7</v>
      </c>
      <c r="G181" s="59">
        <f>SUMIF($C$8:$C$159,$C181,G$8:G$159)</f>
        <v>3792.7</v>
      </c>
      <c r="H181" s="59">
        <f>SUMIF($C$8:$C$159,$C181,H$8:H$159)</f>
        <v>5789.2</v>
      </c>
      <c r="I181" s="54">
        <f t="shared" si="14"/>
        <v>1996.5</v>
      </c>
      <c r="J181" s="99">
        <f>H181/G181*100</f>
        <v>152.64059904553483</v>
      </c>
      <c r="K181" s="101">
        <f aca="true" t="shared" si="15" ref="K181:K204">H181-F181</f>
        <v>1996.5</v>
      </c>
      <c r="L181" s="104">
        <f aca="true" t="shared" si="16" ref="L181:L204">H181/F181*100</f>
        <v>152.64059904553483</v>
      </c>
      <c r="M181" s="59">
        <f>SUMIF($C$8:$C$159,$C181,M$8:M$159)</f>
        <v>6380.2</v>
      </c>
    </row>
    <row r="182" spans="1:13" ht="63">
      <c r="A182" s="20"/>
      <c r="B182" s="20"/>
      <c r="C182" s="63" t="s">
        <v>128</v>
      </c>
      <c r="D182" s="64" t="s">
        <v>129</v>
      </c>
      <c r="E182" s="59">
        <f>SUMIF($C$8:$C$159,$C182,E$8:E$159)</f>
        <v>50632.53</v>
      </c>
      <c r="F182" s="59">
        <f>SUMIF($C$8:$C$159,$C182,F$8:F$159)</f>
        <v>87876</v>
      </c>
      <c r="G182" s="59">
        <f>SUMIF($C$8:$C$159,$C182,G$8:G$159)</f>
        <v>45513.2</v>
      </c>
      <c r="H182" s="59">
        <f>SUMIF($C$8:$C$159,$C182,H$8:H$159)</f>
        <v>38806.3</v>
      </c>
      <c r="I182" s="54">
        <f t="shared" si="14"/>
        <v>-6706.899999999994</v>
      </c>
      <c r="J182" s="99">
        <f>H182/G182*100</f>
        <v>85.26383554661066</v>
      </c>
      <c r="K182" s="101">
        <f t="shared" si="15"/>
        <v>-49069.7</v>
      </c>
      <c r="L182" s="104">
        <f t="shared" si="16"/>
        <v>44.16029405070782</v>
      </c>
      <c r="M182" s="59">
        <f>SUMIF($C$8:$C$159,$C182,M$8:M$159)</f>
        <v>96166.29999999999</v>
      </c>
    </row>
    <row r="183" spans="1:13" ht="15.75">
      <c r="A183" s="20"/>
      <c r="B183" s="20"/>
      <c r="C183" s="4" t="s">
        <v>64</v>
      </c>
      <c r="D183" s="23" t="s">
        <v>65</v>
      </c>
      <c r="E183" s="59">
        <f>SUMIF($C$8:$C$159,$C183,E$8:E$159)</f>
        <v>9853</v>
      </c>
      <c r="F183" s="59">
        <f>SUMIF($C$8:$C$159,$C183,F$8:F$159)</f>
        <v>18726.9</v>
      </c>
      <c r="G183" s="59">
        <f>SUMIF($C$8:$C$159,$C183,G$8:G$159)</f>
        <v>10150</v>
      </c>
      <c r="H183" s="59">
        <f>SUMIF($C$8:$C$159,$C183,H$8:H$159)</f>
        <v>10749.3</v>
      </c>
      <c r="I183" s="54">
        <f t="shared" si="14"/>
        <v>599.2999999999993</v>
      </c>
      <c r="J183" s="99">
        <f>H183/G183*100</f>
        <v>105.90443349753693</v>
      </c>
      <c r="K183" s="101">
        <f t="shared" si="15"/>
        <v>-7977.600000000002</v>
      </c>
      <c r="L183" s="104">
        <f t="shared" si="16"/>
        <v>57.40031719077903</v>
      </c>
      <c r="M183" s="59">
        <f>SUMIF($C$8:$C$159,$C183,M$8:M$159)</f>
        <v>18726.9</v>
      </c>
    </row>
    <row r="184" spans="1:13" ht="31.5">
      <c r="A184" s="20"/>
      <c r="B184" s="20"/>
      <c r="C184" s="4" t="s">
        <v>114</v>
      </c>
      <c r="D184" s="25" t="s">
        <v>119</v>
      </c>
      <c r="E184" s="59">
        <f>SUMIF($C$8:$C$159,$C184,E$8:E$159)</f>
        <v>3110.4</v>
      </c>
      <c r="F184" s="59">
        <f>SUMIF($C$8:$C$159,$C184,F$8:F$159)</f>
        <v>0</v>
      </c>
      <c r="G184" s="59">
        <f>SUMIF($C$8:$C$159,$C184,G$8:G$159)</f>
        <v>0</v>
      </c>
      <c r="H184" s="59">
        <f>SUMIF($C$8:$C$159,$C184,H$8:H$159)</f>
        <v>6676.3</v>
      </c>
      <c r="I184" s="54">
        <f t="shared" si="14"/>
        <v>6676.3</v>
      </c>
      <c r="J184" s="99"/>
      <c r="K184" s="101">
        <f t="shared" si="15"/>
        <v>6676.3</v>
      </c>
      <c r="L184" s="104"/>
      <c r="M184" s="59">
        <f>SUMIF($C$8:$C$159,$C184,M$8:M$159)</f>
        <v>6808.9</v>
      </c>
    </row>
    <row r="185" spans="1:13" ht="15.75">
      <c r="A185" s="20"/>
      <c r="B185" s="20"/>
      <c r="C185" s="4" t="s">
        <v>66</v>
      </c>
      <c r="D185" s="23" t="s">
        <v>67</v>
      </c>
      <c r="E185" s="59">
        <f>SUMIF($C$8:$C$159,$C185,E$8:E$159)</f>
        <v>1068</v>
      </c>
      <c r="F185" s="59">
        <f>SUMIF($C$8:$C$159,$C185,F$8:F$159)</f>
        <v>1460</v>
      </c>
      <c r="G185" s="59">
        <f>SUMIF($C$8:$C$159,$C185,G$8:G$159)</f>
        <v>500</v>
      </c>
      <c r="H185" s="59">
        <f>SUMIF($C$8:$C$159,$C185,H$8:H$159)</f>
        <v>296</v>
      </c>
      <c r="I185" s="54">
        <f t="shared" si="14"/>
        <v>-204</v>
      </c>
      <c r="J185" s="99">
        <f>H185/G185*100</f>
        <v>59.199999999999996</v>
      </c>
      <c r="K185" s="101">
        <f t="shared" si="15"/>
        <v>-1164</v>
      </c>
      <c r="L185" s="104">
        <f t="shared" si="16"/>
        <v>20.273972602739725</v>
      </c>
      <c r="M185" s="59">
        <f>SUMIF($C$8:$C$159,$C185,M$8:M$159)</f>
        <v>1460</v>
      </c>
    </row>
    <row r="186" spans="1:13" ht="47.25">
      <c r="A186" s="20"/>
      <c r="B186" s="20"/>
      <c r="C186" s="4" t="s">
        <v>48</v>
      </c>
      <c r="D186" s="23" t="s">
        <v>49</v>
      </c>
      <c r="E186" s="59">
        <f>SUMIF($C$8:$C$159,$C186,E$8:E$159)</f>
        <v>39</v>
      </c>
      <c r="F186" s="59">
        <f>SUMIF($C$8:$C$159,$C186,F$8:F$159)</f>
        <v>0</v>
      </c>
      <c r="G186" s="59">
        <f>SUMIF($C$8:$C$159,$C186,G$8:G$159)</f>
        <v>0</v>
      </c>
      <c r="H186" s="59">
        <f>SUMIF($C$8:$C$159,$C186,H$8:H$159)</f>
        <v>45</v>
      </c>
      <c r="I186" s="54">
        <f t="shared" si="14"/>
        <v>45</v>
      </c>
      <c r="J186" s="99"/>
      <c r="K186" s="101">
        <f t="shared" si="15"/>
        <v>45</v>
      </c>
      <c r="L186" s="104"/>
      <c r="M186" s="59">
        <f>SUMIF($C$8:$C$159,$C186,M$8:M$159)</f>
        <v>45</v>
      </c>
    </row>
    <row r="187" spans="1:13" ht="78.75">
      <c r="A187" s="20"/>
      <c r="B187" s="20"/>
      <c r="C187" s="63" t="s">
        <v>131</v>
      </c>
      <c r="D187" s="64" t="s">
        <v>130</v>
      </c>
      <c r="E187" s="59">
        <f>SUMIF($C$8:$C$159,$C187,E$8:E$159)</f>
        <v>437001.9</v>
      </c>
      <c r="F187" s="59">
        <f>SUMIF($C$8:$C$159,$C187,F$8:F$159)</f>
        <v>1122450.5</v>
      </c>
      <c r="G187" s="59">
        <f>SUMIF($C$8:$C$159,$C187,G$8:G$159)</f>
        <v>593419.9</v>
      </c>
      <c r="H187" s="59">
        <f>SUMIF($C$8:$C$159,$C187,H$8:H$159)</f>
        <v>272240.6</v>
      </c>
      <c r="I187" s="54">
        <f t="shared" si="14"/>
        <v>-321179.30000000005</v>
      </c>
      <c r="J187" s="99">
        <f>H187/G187*100</f>
        <v>45.876553853350714</v>
      </c>
      <c r="K187" s="101">
        <f t="shared" si="15"/>
        <v>-850209.9</v>
      </c>
      <c r="L187" s="104">
        <f t="shared" si="16"/>
        <v>24.254129692133414</v>
      </c>
      <c r="M187" s="59">
        <f>SUMIF($C$8:$C$159,$C187,M$8:M$159)</f>
        <v>1122450.5</v>
      </c>
    </row>
    <row r="188" spans="1:13" ht="47.25">
      <c r="A188" s="20"/>
      <c r="B188" s="20"/>
      <c r="C188" s="63" t="s">
        <v>134</v>
      </c>
      <c r="D188" s="64" t="s">
        <v>135</v>
      </c>
      <c r="E188" s="59">
        <f>SUMIF($C$8:$C$159,$C188,E$8:E$159)</f>
        <v>222347.2</v>
      </c>
      <c r="F188" s="59">
        <f>SUMIF($C$8:$C$159,$C188,F$8:F$159)</f>
        <v>987695</v>
      </c>
      <c r="G188" s="59">
        <f>SUMIF($C$8:$C$159,$C188,G$8:G$159)</f>
        <v>416868.4</v>
      </c>
      <c r="H188" s="59">
        <f>SUMIF($C$8:$C$159,$C188,H$8:H$159)</f>
        <v>248443.3</v>
      </c>
      <c r="I188" s="54">
        <f t="shared" si="14"/>
        <v>-168425.10000000003</v>
      </c>
      <c r="J188" s="99">
        <f>H188/G188*100</f>
        <v>59.59753725636195</v>
      </c>
      <c r="K188" s="101">
        <f t="shared" si="15"/>
        <v>-739251.7</v>
      </c>
      <c r="L188" s="104">
        <f t="shared" si="16"/>
        <v>25.153848100881344</v>
      </c>
      <c r="M188" s="59">
        <f>SUMIF($C$8:$C$159,$C188,M$8:M$159)</f>
        <v>783980</v>
      </c>
    </row>
    <row r="189" spans="1:13" ht="78.75">
      <c r="A189" s="20"/>
      <c r="B189" s="20"/>
      <c r="C189" s="63" t="s">
        <v>146</v>
      </c>
      <c r="D189" s="64" t="s">
        <v>147</v>
      </c>
      <c r="E189" s="59">
        <f>SUMIF($C$8:$C$159,$C189,E$8:E$159)</f>
        <v>6572.2</v>
      </c>
      <c r="F189" s="59">
        <f>SUMIF($C$8:$C$159,$C189,F$8:F$159)</f>
        <v>0</v>
      </c>
      <c r="G189" s="59">
        <f>SUMIF($C$8:$C$159,$C189,G$8:G$159)</f>
        <v>0</v>
      </c>
      <c r="H189" s="59">
        <f>SUMIF($C$8:$C$159,$C189,H$8:H$159)</f>
        <v>0</v>
      </c>
      <c r="I189" s="54">
        <f>H189-G189</f>
        <v>0</v>
      </c>
      <c r="J189" s="99"/>
      <c r="K189" s="101">
        <f t="shared" si="15"/>
        <v>0</v>
      </c>
      <c r="L189" s="104"/>
      <c r="M189" s="59">
        <f>SUMIF($C$8:$C$159,$C189,M$8:M$159)</f>
        <v>0</v>
      </c>
    </row>
    <row r="190" spans="1:13" ht="31.5">
      <c r="A190" s="20"/>
      <c r="B190" s="20"/>
      <c r="C190" s="4" t="s">
        <v>182</v>
      </c>
      <c r="D190" s="23" t="s">
        <v>181</v>
      </c>
      <c r="E190" s="59">
        <f>SUMIF($C$8:$C$159,$C190,E$8:E$159)</f>
        <v>1</v>
      </c>
      <c r="F190" s="59">
        <f>SUMIF($C$8:$C$159,$C190,F$8:F$159)</f>
        <v>0</v>
      </c>
      <c r="G190" s="59">
        <f>SUMIF($C$8:$C$159,$C190,G$8:G$159)</f>
        <v>0</v>
      </c>
      <c r="H190" s="59">
        <f>SUMIF($C$8:$C$159,$C190,H$8:H$159)</f>
        <v>3</v>
      </c>
      <c r="I190" s="54">
        <f>H190-G190</f>
        <v>3</v>
      </c>
      <c r="J190" s="99"/>
      <c r="K190" s="101">
        <f t="shared" si="15"/>
        <v>3</v>
      </c>
      <c r="L190" s="104"/>
      <c r="M190" s="59">
        <f>SUMIF($C$8:$C$159,$C190,M$8:M$159)</f>
        <v>0</v>
      </c>
    </row>
    <row r="191" spans="1:13" ht="15.75">
      <c r="A191" s="20"/>
      <c r="B191" s="20"/>
      <c r="C191" s="4" t="s">
        <v>77</v>
      </c>
      <c r="D191" s="23" t="s">
        <v>78</v>
      </c>
      <c r="E191" s="59">
        <f>SUMIF($C$8:$C$159,$C191,E$8:E$159)</f>
        <v>45225.6</v>
      </c>
      <c r="F191" s="59">
        <f>SUMIF($C$8:$C$159,$C191,F$8:F$159)</f>
        <v>125416.6</v>
      </c>
      <c r="G191" s="59">
        <f>SUMIF($C$8:$C$159,$C191,G$8:G$159)</f>
        <v>56576.90000000001</v>
      </c>
      <c r="H191" s="59">
        <f>SUMIF($C$8:$C$159,$C191,H$8:H$159)</f>
        <v>84406.29999999999</v>
      </c>
      <c r="I191" s="54">
        <f t="shared" si="14"/>
        <v>27829.39999999998</v>
      </c>
      <c r="J191" s="99">
        <f>H191/G191*100</f>
        <v>149.18862645355256</v>
      </c>
      <c r="K191" s="101">
        <f t="shared" si="15"/>
        <v>-41010.30000000002</v>
      </c>
      <c r="L191" s="104">
        <f t="shared" si="16"/>
        <v>67.30074009341665</v>
      </c>
      <c r="M191" s="59">
        <f>SUMIF($C$8:$C$159,$C191,M$8:M$159)</f>
        <v>147078.00000000003</v>
      </c>
    </row>
    <row r="192" spans="1:13" ht="15.75">
      <c r="A192" s="20"/>
      <c r="B192" s="20"/>
      <c r="C192" s="4" t="s">
        <v>81</v>
      </c>
      <c r="D192" s="23" t="s">
        <v>82</v>
      </c>
      <c r="E192" s="59">
        <f>SUMIF($C$8:$C$159,$C192,E$8:E$159)</f>
        <v>6309.5</v>
      </c>
      <c r="F192" s="59">
        <f>SUMIF($C$8:$C$159,$C192,F$8:F$159)</f>
        <v>0</v>
      </c>
      <c r="G192" s="59">
        <f>SUMIF($C$8:$C$159,$C192,G$8:G$159)</f>
        <v>0</v>
      </c>
      <c r="H192" s="59">
        <f>SUMIF($C$8:$C$159,$C192,H$8:H$159)</f>
        <v>8644.9</v>
      </c>
      <c r="I192" s="54">
        <f t="shared" si="14"/>
        <v>8644.9</v>
      </c>
      <c r="J192" s="99"/>
      <c r="K192" s="101">
        <f t="shared" si="15"/>
        <v>8644.9</v>
      </c>
      <c r="L192" s="104"/>
      <c r="M192" s="59">
        <f>SUMIF($C$8:$C$159,$C192,M$8:M$159)</f>
        <v>0</v>
      </c>
    </row>
    <row r="193" spans="1:13" ht="15.75">
      <c r="A193" s="20"/>
      <c r="B193" s="20"/>
      <c r="C193" s="4" t="s">
        <v>79</v>
      </c>
      <c r="D193" s="23" t="s">
        <v>80</v>
      </c>
      <c r="E193" s="59">
        <f>SUMIF($C$8:$C$159,$C193,E$8:E$159)</f>
        <v>4940.999999999999</v>
      </c>
      <c r="F193" s="59">
        <f>SUMIF($C$8:$C$159,$C193,F$8:F$159)</f>
        <v>0</v>
      </c>
      <c r="G193" s="59">
        <f>SUMIF($C$8:$C$159,$C193,G$8:G$159)</f>
        <v>0</v>
      </c>
      <c r="H193" s="59">
        <f>SUMIF($C$8:$C$159,$C193,H$8:H$159)</f>
        <v>36597.8</v>
      </c>
      <c r="I193" s="54">
        <f t="shared" si="14"/>
        <v>36597.8</v>
      </c>
      <c r="J193" s="99"/>
      <c r="K193" s="101">
        <f t="shared" si="15"/>
        <v>36597.8</v>
      </c>
      <c r="L193" s="104"/>
      <c r="M193" s="59">
        <f>SUMIF($C$8:$C$159,$C193,M$8:M$159)</f>
        <v>37255.9</v>
      </c>
    </row>
    <row r="194" spans="1:13" ht="15.75">
      <c r="A194" s="20"/>
      <c r="B194" s="20"/>
      <c r="C194" s="4" t="s">
        <v>74</v>
      </c>
      <c r="D194" s="23" t="s">
        <v>75</v>
      </c>
      <c r="E194" s="59">
        <f>SUMIF($C$8:$C$159,$C194,E$8:E$159)</f>
        <v>0</v>
      </c>
      <c r="F194" s="59">
        <f>SUMIF($C$8:$C$159,$C194,F$8:F$159)</f>
        <v>-6937.5</v>
      </c>
      <c r="G194" s="59">
        <f>SUMIF($C$8:$C$159,$C194,G$8:G$159)</f>
        <v>-6937.5</v>
      </c>
      <c r="H194" s="59">
        <f>SUMIF($C$8:$C$159,$C194,H$8:H$159)</f>
        <v>-6937.49951</v>
      </c>
      <c r="I194" s="54">
        <f t="shared" si="14"/>
        <v>0.0004900000003544847</v>
      </c>
      <c r="J194" s="99">
        <f aca="true" t="shared" si="17" ref="J194:J199">H194/G194*100</f>
        <v>99.99999293693693</v>
      </c>
      <c r="K194" s="101">
        <f t="shared" si="15"/>
        <v>0.0004900000003544847</v>
      </c>
      <c r="L194" s="104">
        <f t="shared" si="16"/>
        <v>99.99999293693693</v>
      </c>
      <c r="M194" s="59">
        <f>SUMIF($C$8:$C$159,$C194,M$8:M$159)</f>
        <v>-4764.999999999999</v>
      </c>
    </row>
    <row r="195" spans="1:13" s="16" customFormat="1" ht="15.75">
      <c r="A195" s="20"/>
      <c r="B195" s="20"/>
      <c r="C195" s="22" t="s">
        <v>118</v>
      </c>
      <c r="D195" s="27" t="s">
        <v>85</v>
      </c>
      <c r="E195" s="60">
        <f>SUM(E196:E200)</f>
        <v>1410319.52</v>
      </c>
      <c r="F195" s="60">
        <f>SUM(F196:F200)</f>
        <v>4972927.100000001</v>
      </c>
      <c r="G195" s="60">
        <f>SUM(G196:G200)</f>
        <v>1745471.3</v>
      </c>
      <c r="H195" s="60">
        <f>SUM(H196:H200)</f>
        <v>1675160.7</v>
      </c>
      <c r="I195" s="85">
        <f t="shared" si="14"/>
        <v>-70310.6000000001</v>
      </c>
      <c r="J195" s="100">
        <f t="shared" si="17"/>
        <v>95.97182720792945</v>
      </c>
      <c r="K195" s="102">
        <f t="shared" si="15"/>
        <v>-3297766.4000000004</v>
      </c>
      <c r="L195" s="105">
        <f t="shared" si="16"/>
        <v>33.685607416203624</v>
      </c>
      <c r="M195" s="60">
        <f>SUM(M196:M200)</f>
        <v>4972758.9</v>
      </c>
    </row>
    <row r="196" spans="1:13" ht="31.5">
      <c r="A196" s="20"/>
      <c r="B196" s="20"/>
      <c r="C196" s="4" t="s">
        <v>86</v>
      </c>
      <c r="D196" s="23" t="s">
        <v>150</v>
      </c>
      <c r="E196" s="59">
        <f>SUMIF($C$8:$C$155,$C196,E$8:E$155)</f>
        <v>50691.2</v>
      </c>
      <c r="F196" s="59">
        <f>SUMIF($C$8:$C$155,$C196,F$8:F$155)</f>
        <v>85248</v>
      </c>
      <c r="G196" s="59">
        <f>SUMIF($C$8:$C$155,$C196,G$8:G$155)</f>
        <v>41639.1</v>
      </c>
      <c r="H196" s="59">
        <f>SUMIF($C$8:$C$155,$C196,H$8:H$155)</f>
        <v>41639.1</v>
      </c>
      <c r="I196" s="54">
        <f t="shared" si="14"/>
        <v>0</v>
      </c>
      <c r="J196" s="99">
        <f t="shared" si="17"/>
        <v>100</v>
      </c>
      <c r="K196" s="101">
        <f t="shared" si="15"/>
        <v>-43608.9</v>
      </c>
      <c r="L196" s="104">
        <f t="shared" si="16"/>
        <v>48.84466497747748</v>
      </c>
      <c r="M196" s="59">
        <f>SUMIF($C$8:$C$155,$C196,M$8:M$155)</f>
        <v>85248</v>
      </c>
    </row>
    <row r="197" spans="1:13" ht="15.75">
      <c r="A197" s="20"/>
      <c r="B197" s="20"/>
      <c r="C197" s="4" t="s">
        <v>87</v>
      </c>
      <c r="D197" s="23" t="s">
        <v>193</v>
      </c>
      <c r="E197" s="59">
        <f>SUMIF($C$8:$C$155,$C197,E$8:E$155)</f>
        <v>57157.32</v>
      </c>
      <c r="F197" s="59">
        <f>SUMIF($C$8:$C$155,$C197,F$8:F$155)</f>
        <v>2558572.2</v>
      </c>
      <c r="G197" s="59">
        <f>SUMIF($C$8:$C$155,$C197,G$8:G$155)</f>
        <v>350744.2</v>
      </c>
      <c r="H197" s="59">
        <f>SUMIF($C$8:$C$155,$C197,H$8:H$155)</f>
        <v>298309.3</v>
      </c>
      <c r="I197" s="54">
        <f t="shared" si="14"/>
        <v>-52434.90000000002</v>
      </c>
      <c r="J197" s="99">
        <f t="shared" si="17"/>
        <v>85.05038714824079</v>
      </c>
      <c r="K197" s="101">
        <f t="shared" si="15"/>
        <v>-2260262.9000000004</v>
      </c>
      <c r="L197" s="104">
        <f t="shared" si="16"/>
        <v>11.659209773325918</v>
      </c>
      <c r="M197" s="59">
        <f>SUMIF($C$8:$C$155,$C197,M$8:M$155)</f>
        <v>2558572.2</v>
      </c>
    </row>
    <row r="198" spans="1:13" ht="15.75">
      <c r="A198" s="20"/>
      <c r="B198" s="20"/>
      <c r="C198" s="4" t="s">
        <v>142</v>
      </c>
      <c r="D198" s="23" t="s">
        <v>153</v>
      </c>
      <c r="E198" s="59">
        <f>SUMIF($C$8:$C$155,$C198,E$8:E$155)</f>
        <v>1295938.6</v>
      </c>
      <c r="F198" s="59">
        <f>SUMIF($C$8:$C$155,$C198,F$8:F$155)</f>
        <v>2002626.1999999997</v>
      </c>
      <c r="G198" s="59">
        <f>SUMIF($C$8:$C$155,$C198,G$8:G$155)</f>
        <v>1124250.9</v>
      </c>
      <c r="H198" s="59">
        <f>SUMIF($C$8:$C$155,$C198,H$8:H$155)</f>
        <v>1106543.4</v>
      </c>
      <c r="I198" s="54">
        <f t="shared" si="14"/>
        <v>-17707.5</v>
      </c>
      <c r="J198" s="99">
        <f t="shared" si="17"/>
        <v>98.42495122752403</v>
      </c>
      <c r="K198" s="101">
        <f t="shared" si="15"/>
        <v>-896082.7999999998</v>
      </c>
      <c r="L198" s="104">
        <f t="shared" si="16"/>
        <v>55.25461516482707</v>
      </c>
      <c r="M198" s="59">
        <f>SUMIF($C$8:$C$155,$C198,M$8:M$155)</f>
        <v>2002626.1999999997</v>
      </c>
    </row>
    <row r="199" spans="1:13" ht="15.75">
      <c r="A199" s="20"/>
      <c r="B199" s="20"/>
      <c r="C199" s="4" t="s">
        <v>96</v>
      </c>
      <c r="D199" s="64" t="s">
        <v>141</v>
      </c>
      <c r="E199" s="59">
        <f>SUMIF($C$8:$C$155,$C199,E$8:E$155)</f>
        <v>0</v>
      </c>
      <c r="F199" s="59">
        <f>SUMIF($C$8:$C$155,$C199,F$8:F$155)</f>
        <v>326480.7</v>
      </c>
      <c r="G199" s="59">
        <f>SUMIF($C$8:$C$155,$C199,G$8:G$155)</f>
        <v>228837.1</v>
      </c>
      <c r="H199" s="59">
        <f>SUMIF($C$8:$C$155,$C199,H$8:H$155)</f>
        <v>228837.1</v>
      </c>
      <c r="I199" s="54">
        <f t="shared" si="14"/>
        <v>0</v>
      </c>
      <c r="J199" s="99">
        <f t="shared" si="17"/>
        <v>100</v>
      </c>
      <c r="K199" s="101">
        <f t="shared" si="15"/>
        <v>-97643.6</v>
      </c>
      <c r="L199" s="104">
        <f t="shared" si="16"/>
        <v>70.09207588687478</v>
      </c>
      <c r="M199" s="59">
        <f>SUMIF($C$8:$C$155,$C199,M$8:M$155)</f>
        <v>326480.7</v>
      </c>
    </row>
    <row r="200" spans="1:13" ht="15.75">
      <c r="A200" s="20"/>
      <c r="B200" s="20"/>
      <c r="C200" s="4" t="s">
        <v>57</v>
      </c>
      <c r="D200" s="23" t="s">
        <v>58</v>
      </c>
      <c r="E200" s="59">
        <f>SUMIF($C$8:$C$155,$C200,E$8:E$155)</f>
        <v>6532.4</v>
      </c>
      <c r="F200" s="59">
        <f>SUMIF($C$8:$C$155,$C200,F$8:F$155)</f>
        <v>0</v>
      </c>
      <c r="G200" s="59">
        <f>SUMIF($C$8:$C$155,$C200,G$8:G$155)</f>
        <v>0</v>
      </c>
      <c r="H200" s="59">
        <f>SUMIF($C$8:$C$155,$C200,H$8:H$155)</f>
        <v>-168.2</v>
      </c>
      <c r="I200" s="54">
        <f t="shared" si="14"/>
        <v>-168.2</v>
      </c>
      <c r="J200" s="99"/>
      <c r="K200" s="101">
        <f t="shared" si="15"/>
        <v>-168.2</v>
      </c>
      <c r="L200" s="104"/>
      <c r="M200" s="59">
        <f>SUMIF($C$8:$C$155,$C200,M$8:M$155)</f>
        <v>-168.2</v>
      </c>
    </row>
    <row r="201" spans="1:13" s="16" customFormat="1" ht="31.5">
      <c r="A201" s="20"/>
      <c r="B201" s="20"/>
      <c r="C201" s="22" t="s">
        <v>83</v>
      </c>
      <c r="D201" s="27" t="s">
        <v>84</v>
      </c>
      <c r="E201" s="60">
        <f>SUMIF($C$8:$C$155,$C201,E$8:E$155)</f>
        <v>483970.5</v>
      </c>
      <c r="F201" s="60">
        <f>SUMIF($C$8:$C$155,$C201,F$8:F$155)</f>
        <v>1097930</v>
      </c>
      <c r="G201" s="60">
        <f>SUMIF($C$8:$C$155,$C201,G$8:G$155)</f>
        <v>556257.5</v>
      </c>
      <c r="H201" s="60">
        <f>SUMIF($C$8:$C$155,$C201,H$8:H$155)</f>
        <v>581249</v>
      </c>
      <c r="I201" s="85">
        <f t="shared" si="14"/>
        <v>24991.5</v>
      </c>
      <c r="J201" s="100">
        <f>H201/G201*100</f>
        <v>104.49279335559521</v>
      </c>
      <c r="K201" s="102">
        <f t="shared" si="15"/>
        <v>-516681</v>
      </c>
      <c r="L201" s="105">
        <f t="shared" si="16"/>
        <v>52.94044246900987</v>
      </c>
      <c r="M201" s="60">
        <f>SUMIF($C$8:$C$155,$C201,M$8:M$155)</f>
        <v>1096060.2000000002</v>
      </c>
    </row>
    <row r="202" spans="1:13" s="16" customFormat="1" ht="15.75">
      <c r="A202" s="20"/>
      <c r="B202" s="20"/>
      <c r="C202" s="32"/>
      <c r="D202" s="17" t="s">
        <v>92</v>
      </c>
      <c r="E202" s="60">
        <f>SUM(E164,E177,E195,E201)</f>
        <v>6689959.550000001</v>
      </c>
      <c r="F202" s="60">
        <f>SUM(F164,F177,F195,F201)</f>
        <v>19056520</v>
      </c>
      <c r="G202" s="60">
        <f>SUM(G164,G177,G195,G201)</f>
        <v>8075392.899999999</v>
      </c>
      <c r="H202" s="60">
        <f>SUM(H164,H177,H195,H201)</f>
        <v>7872217.30049</v>
      </c>
      <c r="I202" s="85">
        <f t="shared" si="14"/>
        <v>-203175.59950999916</v>
      </c>
      <c r="J202" s="100">
        <f>H202/G202*100</f>
        <v>97.4840159231138</v>
      </c>
      <c r="K202" s="102">
        <f t="shared" si="15"/>
        <v>-11184302.69951</v>
      </c>
      <c r="L202" s="105">
        <f t="shared" si="16"/>
        <v>41.309836740863496</v>
      </c>
      <c r="M202" s="60">
        <f>SUM(M164,M177,M195,M201)</f>
        <v>19476780.599999998</v>
      </c>
    </row>
    <row r="203" spans="1:13" s="16" customFormat="1" ht="31.5">
      <c r="A203" s="35"/>
      <c r="B203" s="36"/>
      <c r="C203" s="22"/>
      <c r="D203" s="27" t="s">
        <v>93</v>
      </c>
      <c r="E203" s="62">
        <f>E204</f>
        <v>14170</v>
      </c>
      <c r="F203" s="62">
        <f>F204</f>
        <v>29220.9</v>
      </c>
      <c r="G203" s="62">
        <f>G204</f>
        <v>27622</v>
      </c>
      <c r="H203" s="62">
        <f>H204</f>
        <v>27500</v>
      </c>
      <c r="I203" s="85">
        <f t="shared" si="14"/>
        <v>-122</v>
      </c>
      <c r="J203" s="100">
        <f>H203/G203*100</f>
        <v>99.55832307580914</v>
      </c>
      <c r="K203" s="102">
        <f t="shared" si="15"/>
        <v>-1720.9000000000015</v>
      </c>
      <c r="L203" s="105">
        <f t="shared" si="16"/>
        <v>94.11072212012634</v>
      </c>
      <c r="M203" s="62">
        <f>M204</f>
        <v>29220.9</v>
      </c>
    </row>
    <row r="204" spans="1:13" ht="31.5">
      <c r="A204" s="35"/>
      <c r="B204" s="36"/>
      <c r="C204" s="63" t="s">
        <v>136</v>
      </c>
      <c r="D204" s="64" t="s">
        <v>140</v>
      </c>
      <c r="E204" s="56">
        <f>E159</f>
        <v>14170</v>
      </c>
      <c r="F204" s="56">
        <f>F159</f>
        <v>29220.9</v>
      </c>
      <c r="G204" s="56">
        <f>G159</f>
        <v>27622</v>
      </c>
      <c r="H204" s="56">
        <v>27500</v>
      </c>
      <c r="I204" s="54">
        <f t="shared" si="14"/>
        <v>-122</v>
      </c>
      <c r="J204" s="99">
        <f>H204/G204*100</f>
        <v>99.55832307580914</v>
      </c>
      <c r="K204" s="101">
        <f t="shared" si="15"/>
        <v>-1720.9000000000015</v>
      </c>
      <c r="L204" s="104">
        <f t="shared" si="16"/>
        <v>94.11072212012634</v>
      </c>
      <c r="M204" s="56">
        <f>M159</f>
        <v>29220.9</v>
      </c>
    </row>
    <row r="205" spans="1:12" ht="18.75">
      <c r="A205" s="44"/>
      <c r="B205" s="18"/>
      <c r="C205" s="8"/>
      <c r="D205" s="29"/>
      <c r="E205" s="28"/>
      <c r="F205" s="83"/>
      <c r="G205" s="30"/>
      <c r="H205" s="94"/>
      <c r="I205" s="31"/>
      <c r="J205" s="51"/>
      <c r="K205" s="46"/>
      <c r="L205" s="3"/>
    </row>
    <row r="206" spans="1:12" ht="15.75">
      <c r="A206" s="117"/>
      <c r="B206" s="118"/>
      <c r="C206" s="118"/>
      <c r="D206" s="118"/>
      <c r="E206" s="118"/>
      <c r="F206" s="118"/>
      <c r="G206" s="118"/>
      <c r="H206" s="118"/>
      <c r="I206" s="31"/>
      <c r="J206" s="51"/>
      <c r="K206" s="46"/>
      <c r="L206" s="3"/>
    </row>
    <row r="207" spans="1:12" ht="15.75">
      <c r="A207" s="117"/>
      <c r="B207" s="118"/>
      <c r="C207" s="118"/>
      <c r="D207" s="118"/>
      <c r="E207" s="118"/>
      <c r="F207" s="118"/>
      <c r="G207" s="118"/>
      <c r="H207" s="118"/>
      <c r="I207" s="118"/>
      <c r="J207" s="51"/>
      <c r="K207" s="46"/>
      <c r="L207" s="3"/>
    </row>
    <row r="208" spans="1:12" ht="15.75">
      <c r="A208" s="21"/>
      <c r="B208" s="21"/>
      <c r="C208" s="47"/>
      <c r="D208" s="48"/>
      <c r="E208" s="49"/>
      <c r="F208" s="50"/>
      <c r="G208" s="49"/>
      <c r="H208" s="51"/>
      <c r="I208" s="50"/>
      <c r="J208" s="51"/>
      <c r="K208" s="46"/>
      <c r="L208" s="3"/>
    </row>
    <row r="209" spans="1:12" ht="15.75">
      <c r="A209" s="21"/>
      <c r="B209" s="21"/>
      <c r="C209" s="47"/>
      <c r="D209" s="48"/>
      <c r="E209" s="49"/>
      <c r="F209" s="50"/>
      <c r="G209" s="49"/>
      <c r="H209" s="51"/>
      <c r="I209" s="50"/>
      <c r="J209" s="51"/>
      <c r="K209" s="46"/>
      <c r="L209" s="3"/>
    </row>
    <row r="210" spans="1:12" ht="15.75">
      <c r="A210" s="21"/>
      <c r="B210" s="21"/>
      <c r="C210" s="47"/>
      <c r="D210" s="48"/>
      <c r="E210" s="49"/>
      <c r="F210" s="50"/>
      <c r="G210" s="49"/>
      <c r="H210" s="51"/>
      <c r="I210" s="51"/>
      <c r="J210" s="51"/>
      <c r="K210" s="46"/>
      <c r="L210" s="3"/>
    </row>
    <row r="211" spans="1:12" ht="15.75">
      <c r="A211" s="21"/>
      <c r="B211" s="21"/>
      <c r="C211" s="47"/>
      <c r="D211" s="48"/>
      <c r="E211" s="49"/>
      <c r="F211" s="50"/>
      <c r="G211" s="49"/>
      <c r="H211" s="51"/>
      <c r="I211" s="51"/>
      <c r="J211" s="51"/>
      <c r="K211" s="46"/>
      <c r="L211" s="3"/>
    </row>
    <row r="212" spans="1:11" ht="15.75">
      <c r="A212" s="44"/>
      <c r="B212" s="18"/>
      <c r="C212" s="8"/>
      <c r="D212" s="30"/>
      <c r="E212" s="29"/>
      <c r="F212" s="83"/>
      <c r="G212" s="30"/>
      <c r="H212" s="94"/>
      <c r="I212" s="31"/>
      <c r="J212" s="31"/>
      <c r="K212" s="52"/>
    </row>
    <row r="213" spans="1:11" ht="15.75">
      <c r="A213" s="44"/>
      <c r="B213" s="18"/>
      <c r="C213" s="8"/>
      <c r="D213" s="30"/>
      <c r="E213" s="29"/>
      <c r="F213" s="83"/>
      <c r="G213" s="30"/>
      <c r="H213" s="94"/>
      <c r="I213" s="31"/>
      <c r="J213" s="31"/>
      <c r="K213" s="52"/>
    </row>
    <row r="214" spans="1:11" ht="15.75">
      <c r="A214" s="44"/>
      <c r="B214" s="18"/>
      <c r="C214" s="8"/>
      <c r="D214" s="30"/>
      <c r="E214" s="29"/>
      <c r="F214" s="83"/>
      <c r="G214" s="30"/>
      <c r="H214" s="94"/>
      <c r="I214" s="31"/>
      <c r="J214" s="31"/>
      <c r="K214" s="52"/>
    </row>
    <row r="215" spans="1:11" ht="15.75">
      <c r="A215" s="44"/>
      <c r="B215" s="18"/>
      <c r="C215" s="8"/>
      <c r="D215" s="30"/>
      <c r="E215" s="29"/>
      <c r="F215" s="83"/>
      <c r="G215" s="30"/>
      <c r="H215" s="94"/>
      <c r="I215" s="31"/>
      <c r="J215" s="31"/>
      <c r="K215" s="52"/>
    </row>
    <row r="216" spans="1:11" ht="15.75">
      <c r="A216" s="44"/>
      <c r="B216" s="18"/>
      <c r="C216" s="8"/>
      <c r="D216" s="30"/>
      <c r="E216" s="29"/>
      <c r="F216" s="83"/>
      <c r="G216" s="30"/>
      <c r="H216" s="94"/>
      <c r="I216" s="31"/>
      <c r="J216" s="31"/>
      <c r="K216" s="52"/>
    </row>
    <row r="217" spans="1:10" ht="15.75">
      <c r="A217" s="40"/>
      <c r="B217" s="18"/>
      <c r="C217" s="8"/>
      <c r="D217" s="30"/>
      <c r="E217" s="29"/>
      <c r="F217" s="83"/>
      <c r="G217" s="30"/>
      <c r="H217" s="94"/>
      <c r="I217" s="31"/>
      <c r="J217" s="31"/>
    </row>
    <row r="218" spans="1:10" ht="15.75">
      <c r="A218" s="40"/>
      <c r="B218" s="18"/>
      <c r="C218" s="8"/>
      <c r="D218" s="30"/>
      <c r="E218" s="29"/>
      <c r="F218" s="83"/>
      <c r="G218" s="30"/>
      <c r="H218" s="94"/>
      <c r="I218" s="31"/>
      <c r="J218" s="31"/>
    </row>
    <row r="219" spans="1:10" ht="15.75">
      <c r="A219" s="40"/>
      <c r="B219" s="18"/>
      <c r="C219" s="8"/>
      <c r="D219" s="30"/>
      <c r="E219" s="29"/>
      <c r="F219" s="83"/>
      <c r="G219" s="30"/>
      <c r="H219" s="94"/>
      <c r="I219" s="31"/>
      <c r="J219" s="31"/>
    </row>
    <row r="220" spans="1:10" ht="15.75">
      <c r="A220" s="40"/>
      <c r="B220" s="18"/>
      <c r="C220" s="8"/>
      <c r="D220" s="30"/>
      <c r="E220" s="29"/>
      <c r="F220" s="83"/>
      <c r="G220" s="30"/>
      <c r="H220" s="94"/>
      <c r="I220" s="31"/>
      <c r="J220" s="31"/>
    </row>
    <row r="221" spans="1:10" ht="15.75">
      <c r="A221" s="40"/>
      <c r="B221" s="18"/>
      <c r="C221" s="8"/>
      <c r="D221" s="30"/>
      <c r="E221" s="29"/>
      <c r="F221" s="83"/>
      <c r="G221" s="30"/>
      <c r="H221" s="94"/>
      <c r="I221" s="31"/>
      <c r="J221" s="31"/>
    </row>
    <row r="222" spans="1:10" ht="15.75">
      <c r="A222" s="40"/>
      <c r="B222" s="18"/>
      <c r="C222" s="8"/>
      <c r="D222" s="30"/>
      <c r="E222" s="29"/>
      <c r="F222" s="83"/>
      <c r="G222" s="30"/>
      <c r="H222" s="94"/>
      <c r="I222" s="31"/>
      <c r="J222" s="31"/>
    </row>
    <row r="223" spans="1:10" ht="15.75">
      <c r="A223" s="40"/>
      <c r="B223" s="18"/>
      <c r="C223" s="8"/>
      <c r="D223" s="30"/>
      <c r="E223" s="29"/>
      <c r="F223" s="83"/>
      <c r="G223" s="30"/>
      <c r="H223" s="94"/>
      <c r="I223" s="31"/>
      <c r="J223" s="31"/>
    </row>
    <row r="224" spans="1:10" ht="15.75">
      <c r="A224" s="40"/>
      <c r="B224" s="18"/>
      <c r="C224" s="8"/>
      <c r="D224" s="30"/>
      <c r="E224" s="29"/>
      <c r="F224" s="83"/>
      <c r="G224" s="30"/>
      <c r="H224" s="94"/>
      <c r="I224" s="31"/>
      <c r="J224" s="31"/>
    </row>
    <row r="225" spans="1:10" ht="15.75">
      <c r="A225" s="40"/>
      <c r="B225" s="18"/>
      <c r="C225" s="8"/>
      <c r="D225" s="30"/>
      <c r="E225" s="29"/>
      <c r="F225" s="83"/>
      <c r="G225" s="30"/>
      <c r="H225" s="94"/>
      <c r="I225" s="31"/>
      <c r="J225" s="31"/>
    </row>
    <row r="226" spans="1:10" ht="15.75">
      <c r="A226" s="40"/>
      <c r="B226" s="18"/>
      <c r="C226" s="8"/>
      <c r="D226" s="30"/>
      <c r="E226" s="29"/>
      <c r="F226" s="83"/>
      <c r="G226" s="30"/>
      <c r="H226" s="94"/>
      <c r="I226" s="31"/>
      <c r="J226" s="31"/>
    </row>
    <row r="227" spans="1:10" ht="15.75">
      <c r="A227" s="40"/>
      <c r="B227" s="18"/>
      <c r="C227" s="8"/>
      <c r="D227" s="30"/>
      <c r="E227" s="29"/>
      <c r="F227" s="83"/>
      <c r="G227" s="30"/>
      <c r="H227" s="94"/>
      <c r="I227" s="31"/>
      <c r="J227" s="31"/>
    </row>
    <row r="228" spans="1:10" ht="15.75">
      <c r="A228" s="40"/>
      <c r="B228" s="18"/>
      <c r="C228" s="8"/>
      <c r="D228" s="29"/>
      <c r="E228" s="29"/>
      <c r="F228" s="83"/>
      <c r="G228" s="30"/>
      <c r="H228" s="94"/>
      <c r="I228" s="31"/>
      <c r="J228" s="31"/>
    </row>
    <row r="229" spans="1:10" ht="15.75">
      <c r="A229" s="40"/>
      <c r="B229" s="18"/>
      <c r="C229" s="8"/>
      <c r="D229" s="29"/>
      <c r="E229" s="29"/>
      <c r="F229" s="83"/>
      <c r="G229" s="30"/>
      <c r="H229" s="94"/>
      <c r="I229" s="31"/>
      <c r="J229" s="31"/>
    </row>
    <row r="230" spans="1:10" ht="15.75">
      <c r="A230" s="40"/>
      <c r="B230" s="18"/>
      <c r="C230" s="8"/>
      <c r="D230" s="29"/>
      <c r="E230" s="29"/>
      <c r="F230" s="83"/>
      <c r="G230" s="30"/>
      <c r="H230" s="94"/>
      <c r="I230" s="31"/>
      <c r="J230" s="31"/>
    </row>
    <row r="231" spans="1:10" ht="15.75">
      <c r="A231" s="40"/>
      <c r="B231" s="18"/>
      <c r="C231" s="8"/>
      <c r="D231" s="29"/>
      <c r="E231" s="29"/>
      <c r="F231" s="83"/>
      <c r="G231" s="30"/>
      <c r="H231" s="94"/>
      <c r="I231" s="31"/>
      <c r="J231" s="31"/>
    </row>
    <row r="232" spans="1:10" ht="15.75">
      <c r="A232" s="40"/>
      <c r="B232" s="18"/>
      <c r="C232" s="8"/>
      <c r="D232" s="29"/>
      <c r="E232" s="29"/>
      <c r="F232" s="83"/>
      <c r="G232" s="30"/>
      <c r="H232" s="94"/>
      <c r="I232" s="31"/>
      <c r="J232" s="31"/>
    </row>
    <row r="233" spans="1:10" ht="15.75">
      <c r="A233" s="40"/>
      <c r="B233" s="18"/>
      <c r="C233" s="8"/>
      <c r="D233" s="29"/>
      <c r="E233" s="29"/>
      <c r="F233" s="83"/>
      <c r="G233" s="30"/>
      <c r="H233" s="94"/>
      <c r="I233" s="31"/>
      <c r="J233" s="31"/>
    </row>
    <row r="234" spans="1:10" ht="15.75">
      <c r="A234" s="40"/>
      <c r="B234" s="18"/>
      <c r="C234" s="8"/>
      <c r="D234" s="29"/>
      <c r="E234" s="29"/>
      <c r="F234" s="83"/>
      <c r="G234" s="30"/>
      <c r="H234" s="94"/>
      <c r="I234" s="31"/>
      <c r="J234" s="31"/>
    </row>
    <row r="235" spans="1:10" ht="15.75">
      <c r="A235" s="40"/>
      <c r="B235" s="18"/>
      <c r="C235" s="8"/>
      <c r="D235" s="29"/>
      <c r="E235" s="29"/>
      <c r="F235" s="83"/>
      <c r="G235" s="30"/>
      <c r="H235" s="94"/>
      <c r="I235" s="31"/>
      <c r="J235" s="31"/>
    </row>
    <row r="236" spans="1:10" ht="15.75">
      <c r="A236" s="40"/>
      <c r="B236" s="18"/>
      <c r="C236" s="8"/>
      <c r="D236" s="29"/>
      <c r="E236" s="29"/>
      <c r="F236" s="83"/>
      <c r="G236" s="30"/>
      <c r="H236" s="94"/>
      <c r="I236" s="31"/>
      <c r="J236" s="31"/>
    </row>
    <row r="237" spans="1:10" ht="15.75">
      <c r="A237" s="40"/>
      <c r="B237" s="18"/>
      <c r="C237" s="8"/>
      <c r="D237" s="29"/>
      <c r="E237" s="29"/>
      <c r="F237" s="83"/>
      <c r="G237" s="30"/>
      <c r="H237" s="94"/>
      <c r="I237" s="31"/>
      <c r="J237" s="31"/>
    </row>
    <row r="238" spans="1:10" ht="15.75">
      <c r="A238" s="40"/>
      <c r="B238" s="18"/>
      <c r="C238" s="8"/>
      <c r="D238" s="29"/>
      <c r="E238" s="29"/>
      <c r="F238" s="83"/>
      <c r="G238" s="30"/>
      <c r="H238" s="94"/>
      <c r="I238" s="31"/>
      <c r="J238" s="31"/>
    </row>
    <row r="239" spans="1:10" ht="15.75">
      <c r="A239" s="40"/>
      <c r="B239" s="18"/>
      <c r="C239" s="8"/>
      <c r="D239" s="29"/>
      <c r="E239" s="29"/>
      <c r="F239" s="83"/>
      <c r="G239" s="30"/>
      <c r="H239" s="94"/>
      <c r="I239" s="31"/>
      <c r="J239" s="31"/>
    </row>
    <row r="240" spans="1:10" ht="15.75">
      <c r="A240" s="40"/>
      <c r="B240" s="18"/>
      <c r="C240" s="8"/>
      <c r="D240" s="29"/>
      <c r="E240" s="29"/>
      <c r="F240" s="83"/>
      <c r="G240" s="30"/>
      <c r="H240" s="94"/>
      <c r="I240" s="31"/>
      <c r="J240" s="31"/>
    </row>
    <row r="241" spans="2:10" ht="15.75">
      <c r="B241" s="19"/>
      <c r="C241" s="8"/>
      <c r="D241" s="29"/>
      <c r="E241" s="29"/>
      <c r="F241" s="83"/>
      <c r="G241" s="30"/>
      <c r="H241" s="94"/>
      <c r="I241" s="31"/>
      <c r="J241" s="31"/>
    </row>
    <row r="242" spans="2:10" ht="15.75">
      <c r="B242" s="19"/>
      <c r="C242" s="8"/>
      <c r="D242" s="29"/>
      <c r="E242" s="29"/>
      <c r="F242" s="83"/>
      <c r="G242" s="30"/>
      <c r="H242" s="94"/>
      <c r="I242" s="31"/>
      <c r="J242" s="31"/>
    </row>
    <row r="243" spans="2:10" ht="15.75">
      <c r="B243" s="19"/>
      <c r="C243" s="8"/>
      <c r="D243" s="29"/>
      <c r="E243" s="29"/>
      <c r="F243" s="83"/>
      <c r="G243" s="30"/>
      <c r="H243" s="94"/>
      <c r="I243" s="31"/>
      <c r="J243" s="31"/>
    </row>
    <row r="244" spans="2:10" ht="15.75">
      <c r="B244" s="19"/>
      <c r="C244" s="8"/>
      <c r="D244" s="29"/>
      <c r="E244" s="29"/>
      <c r="F244" s="83"/>
      <c r="G244" s="30"/>
      <c r="H244" s="94"/>
      <c r="I244" s="31"/>
      <c r="J244" s="31"/>
    </row>
    <row r="245" spans="2:10" ht="15.75">
      <c r="B245" s="19"/>
      <c r="C245" s="8"/>
      <c r="D245" s="29"/>
      <c r="E245" s="29"/>
      <c r="F245" s="83"/>
      <c r="G245" s="30"/>
      <c r="H245" s="94"/>
      <c r="I245" s="31"/>
      <c r="J245" s="31"/>
    </row>
    <row r="246" spans="2:10" ht="15.75">
      <c r="B246" s="19"/>
      <c r="C246" s="8"/>
      <c r="D246" s="29"/>
      <c r="E246" s="29"/>
      <c r="F246" s="83"/>
      <c r="G246" s="30"/>
      <c r="H246" s="94"/>
      <c r="I246" s="31"/>
      <c r="J246" s="31"/>
    </row>
    <row r="247" spans="2:10" ht="15.75">
      <c r="B247" s="19"/>
      <c r="C247" s="8"/>
      <c r="D247" s="29"/>
      <c r="E247" s="29"/>
      <c r="F247" s="83"/>
      <c r="G247" s="30"/>
      <c r="H247" s="94"/>
      <c r="I247" s="31"/>
      <c r="J247" s="31"/>
    </row>
    <row r="248" spans="2:10" ht="15.75">
      <c r="B248" s="19"/>
      <c r="C248" s="8"/>
      <c r="D248" s="29"/>
      <c r="E248" s="29"/>
      <c r="F248" s="83"/>
      <c r="G248" s="30"/>
      <c r="H248" s="94"/>
      <c r="I248" s="31"/>
      <c r="J248" s="31"/>
    </row>
    <row r="249" spans="2:10" ht="15.75">
      <c r="B249" s="19"/>
      <c r="C249" s="8"/>
      <c r="D249" s="29"/>
      <c r="E249" s="29"/>
      <c r="F249" s="83"/>
      <c r="G249" s="30"/>
      <c r="H249" s="94"/>
      <c r="I249" s="31"/>
      <c r="J249" s="31"/>
    </row>
    <row r="250" spans="2:10" ht="15.75">
      <c r="B250" s="19"/>
      <c r="C250" s="8"/>
      <c r="D250" s="29"/>
      <c r="E250" s="29"/>
      <c r="F250" s="83"/>
      <c r="G250" s="30"/>
      <c r="H250" s="94"/>
      <c r="I250" s="31"/>
      <c r="J250" s="31"/>
    </row>
    <row r="251" spans="2:10" ht="15.75">
      <c r="B251" s="19"/>
      <c r="C251" s="8"/>
      <c r="D251" s="29"/>
      <c r="E251" s="29"/>
      <c r="F251" s="83"/>
      <c r="G251" s="30"/>
      <c r="H251" s="94"/>
      <c r="I251" s="31"/>
      <c r="J251" s="31"/>
    </row>
    <row r="252" spans="2:10" ht="15.75">
      <c r="B252" s="19"/>
      <c r="C252" s="8"/>
      <c r="D252" s="29"/>
      <c r="E252" s="29"/>
      <c r="F252" s="83"/>
      <c r="G252" s="30"/>
      <c r="H252" s="94"/>
      <c r="I252" s="31"/>
      <c r="J252" s="31"/>
    </row>
    <row r="253" spans="2:10" ht="15.75">
      <c r="B253" s="19"/>
      <c r="C253" s="8"/>
      <c r="D253" s="29"/>
      <c r="E253" s="29"/>
      <c r="F253" s="83"/>
      <c r="G253" s="30"/>
      <c r="H253" s="94"/>
      <c r="I253" s="31"/>
      <c r="J253" s="31"/>
    </row>
    <row r="254" spans="2:10" ht="15.75">
      <c r="B254" s="19"/>
      <c r="C254" s="8"/>
      <c r="D254" s="29"/>
      <c r="E254" s="29"/>
      <c r="F254" s="83"/>
      <c r="G254" s="30"/>
      <c r="H254" s="94"/>
      <c r="I254" s="31"/>
      <c r="J254" s="31"/>
    </row>
    <row r="255" spans="2:10" ht="15.75">
      <c r="B255" s="19"/>
      <c r="C255" s="8"/>
      <c r="D255" s="29"/>
      <c r="E255" s="29"/>
      <c r="F255" s="83"/>
      <c r="G255" s="30"/>
      <c r="H255" s="94"/>
      <c r="I255" s="31"/>
      <c r="J255" s="31"/>
    </row>
    <row r="256" spans="2:10" ht="15.75">
      <c r="B256" s="19"/>
      <c r="C256" s="8"/>
      <c r="D256" s="29"/>
      <c r="E256" s="29"/>
      <c r="F256" s="83"/>
      <c r="G256" s="30"/>
      <c r="H256" s="94"/>
      <c r="I256" s="31"/>
      <c r="J256" s="31"/>
    </row>
    <row r="257" spans="2:10" ht="15.75">
      <c r="B257" s="19"/>
      <c r="C257" s="8"/>
      <c r="D257" s="29"/>
      <c r="E257" s="29"/>
      <c r="F257" s="83"/>
      <c r="G257" s="30"/>
      <c r="H257" s="94"/>
      <c r="I257" s="31"/>
      <c r="J257" s="31"/>
    </row>
    <row r="258" spans="2:10" ht="15.75">
      <c r="B258" s="19"/>
      <c r="C258" s="8"/>
      <c r="D258" s="29"/>
      <c r="E258" s="29"/>
      <c r="F258" s="83"/>
      <c r="G258" s="30"/>
      <c r="H258" s="94"/>
      <c r="I258" s="31"/>
      <c r="J258" s="31"/>
    </row>
    <row r="259" spans="2:10" ht="15.75">
      <c r="B259" s="19"/>
      <c r="C259" s="8"/>
      <c r="D259" s="29"/>
      <c r="E259" s="29"/>
      <c r="F259" s="83"/>
      <c r="G259" s="30"/>
      <c r="H259" s="94"/>
      <c r="I259" s="31"/>
      <c r="J259" s="31"/>
    </row>
    <row r="260" spans="2:10" ht="15.75">
      <c r="B260" s="19"/>
      <c r="C260" s="8"/>
      <c r="D260" s="29"/>
      <c r="E260" s="29"/>
      <c r="F260" s="83"/>
      <c r="G260" s="30"/>
      <c r="H260" s="94"/>
      <c r="I260" s="31"/>
      <c r="J260" s="31"/>
    </row>
    <row r="261" spans="2:10" ht="15.75">
      <c r="B261" s="19"/>
      <c r="C261" s="8"/>
      <c r="D261" s="29"/>
      <c r="E261" s="29"/>
      <c r="F261" s="83"/>
      <c r="G261" s="30"/>
      <c r="H261" s="94"/>
      <c r="I261" s="31"/>
      <c r="J261" s="31"/>
    </row>
    <row r="262" spans="2:10" ht="15.75">
      <c r="B262" s="19"/>
      <c r="C262" s="8"/>
      <c r="D262" s="29"/>
      <c r="E262" s="29"/>
      <c r="F262" s="83"/>
      <c r="G262" s="30"/>
      <c r="H262" s="94"/>
      <c r="I262" s="31"/>
      <c r="J262" s="31"/>
    </row>
    <row r="263" spans="2:10" ht="15.75">
      <c r="B263" s="19"/>
      <c r="C263" s="8"/>
      <c r="D263" s="29"/>
      <c r="E263" s="29"/>
      <c r="F263" s="83"/>
      <c r="G263" s="30"/>
      <c r="H263" s="94"/>
      <c r="I263" s="31"/>
      <c r="J263" s="31"/>
    </row>
    <row r="264" spans="2:10" ht="15.75">
      <c r="B264" s="19"/>
      <c r="C264" s="8"/>
      <c r="D264" s="29"/>
      <c r="E264" s="29"/>
      <c r="F264" s="83"/>
      <c r="G264" s="30"/>
      <c r="H264" s="94"/>
      <c r="I264" s="31"/>
      <c r="J264" s="31"/>
    </row>
    <row r="265" spans="2:10" ht="15.75">
      <c r="B265" s="19"/>
      <c r="C265" s="8"/>
      <c r="D265" s="29"/>
      <c r="E265" s="29"/>
      <c r="F265" s="83"/>
      <c r="G265" s="30"/>
      <c r="H265" s="94"/>
      <c r="I265" s="31"/>
      <c r="J265" s="31"/>
    </row>
    <row r="266" spans="2:10" ht="15.75">
      <c r="B266" s="19"/>
      <c r="C266" s="8"/>
      <c r="D266" s="29"/>
      <c r="E266" s="29"/>
      <c r="F266" s="83"/>
      <c r="G266" s="30"/>
      <c r="H266" s="94"/>
      <c r="I266" s="31"/>
      <c r="J266" s="31"/>
    </row>
    <row r="267" spans="2:10" ht="15.75">
      <c r="B267" s="19"/>
      <c r="C267" s="8"/>
      <c r="D267" s="29"/>
      <c r="E267" s="29"/>
      <c r="F267" s="83"/>
      <c r="G267" s="30"/>
      <c r="H267" s="94"/>
      <c r="I267" s="31"/>
      <c r="J267" s="31"/>
    </row>
    <row r="268" spans="2:10" ht="15.75">
      <c r="B268" s="19"/>
      <c r="C268" s="8"/>
      <c r="D268" s="29"/>
      <c r="E268" s="29"/>
      <c r="F268" s="83"/>
      <c r="G268" s="30"/>
      <c r="H268" s="94"/>
      <c r="I268" s="31"/>
      <c r="J268" s="31"/>
    </row>
    <row r="269" spans="2:10" ht="15.75">
      <c r="B269" s="19"/>
      <c r="C269" s="8"/>
      <c r="D269" s="29"/>
      <c r="E269" s="29"/>
      <c r="F269" s="83"/>
      <c r="G269" s="30"/>
      <c r="H269" s="94"/>
      <c r="I269" s="31"/>
      <c r="J269" s="31"/>
    </row>
    <row r="270" spans="2:10" ht="15.75">
      <c r="B270" s="19"/>
      <c r="C270" s="8"/>
      <c r="D270" s="29"/>
      <c r="E270" s="29"/>
      <c r="F270" s="83"/>
      <c r="G270" s="30"/>
      <c r="H270" s="94"/>
      <c r="I270" s="31"/>
      <c r="J270" s="31"/>
    </row>
    <row r="271" spans="2:10" ht="15.75">
      <c r="B271" s="19"/>
      <c r="C271" s="8"/>
      <c r="D271" s="29"/>
      <c r="E271" s="29"/>
      <c r="F271" s="83"/>
      <c r="G271" s="30"/>
      <c r="H271" s="94"/>
      <c r="I271" s="31"/>
      <c r="J271" s="31"/>
    </row>
    <row r="272" spans="2:10" ht="15.75">
      <c r="B272" s="19"/>
      <c r="C272" s="8"/>
      <c r="D272" s="29"/>
      <c r="E272" s="29"/>
      <c r="F272" s="83"/>
      <c r="G272" s="30"/>
      <c r="H272" s="94"/>
      <c r="I272" s="31"/>
      <c r="J272" s="31"/>
    </row>
    <row r="273" spans="2:10" ht="15.75">
      <c r="B273" s="19"/>
      <c r="C273" s="8"/>
      <c r="D273" s="29"/>
      <c r="E273" s="29"/>
      <c r="F273" s="83"/>
      <c r="G273" s="30"/>
      <c r="H273" s="94"/>
      <c r="I273" s="31"/>
      <c r="J273" s="31"/>
    </row>
    <row r="274" spans="2:10" ht="15.75">
      <c r="B274" s="19"/>
      <c r="C274" s="8"/>
      <c r="D274" s="29"/>
      <c r="E274" s="29"/>
      <c r="F274" s="83"/>
      <c r="G274" s="30"/>
      <c r="H274" s="94"/>
      <c r="I274" s="31"/>
      <c r="J274" s="31"/>
    </row>
    <row r="275" spans="2:10" ht="15.75">
      <c r="B275" s="19"/>
      <c r="C275" s="8"/>
      <c r="D275" s="29"/>
      <c r="E275" s="29"/>
      <c r="F275" s="83"/>
      <c r="G275" s="30"/>
      <c r="H275" s="94"/>
      <c r="I275" s="31"/>
      <c r="J275" s="31"/>
    </row>
    <row r="276" spans="2:10" ht="15.75">
      <c r="B276" s="19"/>
      <c r="C276" s="8"/>
      <c r="D276" s="29"/>
      <c r="E276" s="29"/>
      <c r="F276" s="83"/>
      <c r="G276" s="30"/>
      <c r="H276" s="94"/>
      <c r="I276" s="31"/>
      <c r="J276" s="31"/>
    </row>
    <row r="277" spans="2:10" ht="15.75">
      <c r="B277" s="19"/>
      <c r="C277" s="8"/>
      <c r="D277" s="29"/>
      <c r="E277" s="29"/>
      <c r="F277" s="83"/>
      <c r="G277" s="30"/>
      <c r="H277" s="94"/>
      <c r="I277" s="31"/>
      <c r="J277" s="31"/>
    </row>
    <row r="278" spans="2:10" ht="15.75">
      <c r="B278" s="19"/>
      <c r="C278" s="8"/>
      <c r="D278" s="29"/>
      <c r="E278" s="29"/>
      <c r="F278" s="83"/>
      <c r="G278" s="30"/>
      <c r="H278" s="94"/>
      <c r="I278" s="31"/>
      <c r="J278" s="31"/>
    </row>
    <row r="279" spans="2:10" ht="15.75">
      <c r="B279" s="19"/>
      <c r="C279" s="8"/>
      <c r="D279" s="29"/>
      <c r="E279" s="29"/>
      <c r="F279" s="83"/>
      <c r="G279" s="30"/>
      <c r="H279" s="94"/>
      <c r="I279" s="31"/>
      <c r="J279" s="31"/>
    </row>
    <row r="280" spans="2:10" ht="15.75">
      <c r="B280" s="19"/>
      <c r="C280" s="8"/>
      <c r="D280" s="29"/>
      <c r="E280" s="29"/>
      <c r="F280" s="83"/>
      <c r="G280" s="30"/>
      <c r="H280" s="94"/>
      <c r="I280" s="31"/>
      <c r="J280" s="31"/>
    </row>
    <row r="281" spans="2:10" ht="15.75">
      <c r="B281" s="19"/>
      <c r="C281" s="8"/>
      <c r="D281" s="29"/>
      <c r="E281" s="29"/>
      <c r="F281" s="83"/>
      <c r="G281" s="30"/>
      <c r="H281" s="94"/>
      <c r="I281" s="31"/>
      <c r="J281" s="31"/>
    </row>
    <row r="282" spans="2:10" ht="15.75">
      <c r="B282" s="19"/>
      <c r="C282" s="8"/>
      <c r="D282" s="29"/>
      <c r="E282" s="29"/>
      <c r="F282" s="83"/>
      <c r="G282" s="30"/>
      <c r="H282" s="94"/>
      <c r="I282" s="31"/>
      <c r="J282" s="31"/>
    </row>
    <row r="283" spans="2:10" ht="15.75">
      <c r="B283" s="19"/>
      <c r="C283" s="8"/>
      <c r="D283" s="29"/>
      <c r="E283" s="29"/>
      <c r="F283" s="83"/>
      <c r="G283" s="30"/>
      <c r="H283" s="94"/>
      <c r="I283" s="31"/>
      <c r="J283" s="31"/>
    </row>
    <row r="284" spans="2:10" ht="15.75">
      <c r="B284" s="19"/>
      <c r="C284" s="8"/>
      <c r="D284" s="29"/>
      <c r="E284" s="29"/>
      <c r="F284" s="83"/>
      <c r="G284" s="30"/>
      <c r="H284" s="94"/>
      <c r="I284" s="31"/>
      <c r="J284" s="31"/>
    </row>
    <row r="285" spans="2:10" ht="15.75">
      <c r="B285" s="19"/>
      <c r="C285" s="8"/>
      <c r="D285" s="29"/>
      <c r="E285" s="29"/>
      <c r="F285" s="83"/>
      <c r="G285" s="30"/>
      <c r="H285" s="94"/>
      <c r="I285" s="31"/>
      <c r="J285" s="31"/>
    </row>
    <row r="286" spans="2:10" ht="15.75">
      <c r="B286" s="19"/>
      <c r="C286" s="8"/>
      <c r="D286" s="29"/>
      <c r="E286" s="29"/>
      <c r="F286" s="83"/>
      <c r="G286" s="30"/>
      <c r="H286" s="94"/>
      <c r="I286" s="31"/>
      <c r="J286" s="31"/>
    </row>
    <row r="287" spans="2:10" ht="15.75">
      <c r="B287" s="19"/>
      <c r="C287" s="8"/>
      <c r="D287" s="29"/>
      <c r="E287" s="29"/>
      <c r="F287" s="83"/>
      <c r="G287" s="30"/>
      <c r="H287" s="94"/>
      <c r="I287" s="31"/>
      <c r="J287" s="31"/>
    </row>
    <row r="288" spans="2:10" ht="15.75">
      <c r="B288" s="19"/>
      <c r="C288" s="8"/>
      <c r="D288" s="29"/>
      <c r="E288" s="29"/>
      <c r="F288" s="83"/>
      <c r="G288" s="30"/>
      <c r="H288" s="94"/>
      <c r="I288" s="31"/>
      <c r="J288" s="31"/>
    </row>
    <row r="289" spans="2:10" ht="15.75">
      <c r="B289" s="19"/>
      <c r="C289" s="8"/>
      <c r="D289" s="29"/>
      <c r="E289" s="29"/>
      <c r="F289" s="83"/>
      <c r="G289" s="30"/>
      <c r="H289" s="94"/>
      <c r="I289" s="31"/>
      <c r="J289" s="31"/>
    </row>
    <row r="290" spans="2:10" ht="15.75">
      <c r="B290" s="19"/>
      <c r="C290" s="8"/>
      <c r="D290" s="29"/>
      <c r="E290" s="29"/>
      <c r="F290" s="83"/>
      <c r="G290" s="30"/>
      <c r="H290" s="94"/>
      <c r="I290" s="31"/>
      <c r="J290" s="31"/>
    </row>
    <row r="291" spans="2:10" ht="15.75">
      <c r="B291" s="19"/>
      <c r="C291" s="8"/>
      <c r="D291" s="29"/>
      <c r="E291" s="29"/>
      <c r="F291" s="83"/>
      <c r="G291" s="30"/>
      <c r="H291" s="94"/>
      <c r="I291" s="31"/>
      <c r="J291" s="31"/>
    </row>
    <row r="292" spans="2:10" ht="15.75">
      <c r="B292" s="19"/>
      <c r="C292" s="8"/>
      <c r="D292" s="5"/>
      <c r="E292" s="5"/>
      <c r="F292" s="84"/>
      <c r="G292" s="6"/>
      <c r="H292" s="95"/>
      <c r="I292" s="7"/>
      <c r="J292" s="7"/>
    </row>
    <row r="293" spans="2:10" ht="15.75">
      <c r="B293" s="19"/>
      <c r="C293" s="8"/>
      <c r="D293" s="5"/>
      <c r="E293" s="5"/>
      <c r="F293" s="84"/>
      <c r="G293" s="6"/>
      <c r="H293" s="95"/>
      <c r="I293" s="7"/>
      <c r="J293" s="7"/>
    </row>
    <row r="294" spans="2:10" ht="15.75">
      <c r="B294" s="19"/>
      <c r="C294" s="8"/>
      <c r="D294" s="5"/>
      <c r="E294" s="5"/>
      <c r="F294" s="84"/>
      <c r="G294" s="6"/>
      <c r="H294" s="95"/>
      <c r="I294" s="7"/>
      <c r="J294" s="7"/>
    </row>
    <row r="295" spans="2:10" ht="15.75">
      <c r="B295" s="19"/>
      <c r="C295" s="8"/>
      <c r="D295" s="5"/>
      <c r="E295" s="5"/>
      <c r="F295" s="84"/>
      <c r="G295" s="6"/>
      <c r="H295" s="95"/>
      <c r="I295" s="7"/>
      <c r="J295" s="7"/>
    </row>
    <row r="296" spans="2:10" ht="15.75">
      <c r="B296" s="19"/>
      <c r="C296" s="8"/>
      <c r="D296" s="5"/>
      <c r="E296" s="5"/>
      <c r="F296" s="84"/>
      <c r="G296" s="6"/>
      <c r="H296" s="95"/>
      <c r="I296" s="7"/>
      <c r="J296" s="7"/>
    </row>
    <row r="297" spans="2:10" ht="15.75">
      <c r="B297" s="19"/>
      <c r="C297" s="8"/>
      <c r="D297" s="5"/>
      <c r="E297" s="5"/>
      <c r="F297" s="84"/>
      <c r="G297" s="6"/>
      <c r="H297" s="95"/>
      <c r="I297" s="7"/>
      <c r="J297" s="7"/>
    </row>
    <row r="298" spans="2:10" ht="15.75">
      <c r="B298" s="19"/>
      <c r="C298" s="8"/>
      <c r="D298" s="5"/>
      <c r="E298" s="5"/>
      <c r="F298" s="84"/>
      <c r="G298" s="6"/>
      <c r="H298" s="95"/>
      <c r="I298" s="7"/>
      <c r="J298" s="7"/>
    </row>
    <row r="299" spans="2:10" ht="15.75">
      <c r="B299" s="19"/>
      <c r="C299" s="8"/>
      <c r="D299" s="5"/>
      <c r="E299" s="5"/>
      <c r="F299" s="84"/>
      <c r="G299" s="6"/>
      <c r="H299" s="95"/>
      <c r="I299" s="7"/>
      <c r="J299" s="7"/>
    </row>
    <row r="300" spans="2:10" ht="15.75">
      <c r="B300" s="19"/>
      <c r="C300" s="8"/>
      <c r="D300" s="5"/>
      <c r="E300" s="5"/>
      <c r="F300" s="84"/>
      <c r="G300" s="6"/>
      <c r="H300" s="95"/>
      <c r="I300" s="7"/>
      <c r="J300" s="7"/>
    </row>
    <row r="301" spans="2:10" ht="15.75">
      <c r="B301" s="19"/>
      <c r="C301" s="8"/>
      <c r="D301" s="5"/>
      <c r="E301" s="5"/>
      <c r="F301" s="84"/>
      <c r="G301" s="6"/>
      <c r="H301" s="95"/>
      <c r="I301" s="7"/>
      <c r="J301" s="7"/>
    </row>
    <row r="302" spans="2:10" ht="15.75">
      <c r="B302" s="19"/>
      <c r="C302" s="8"/>
      <c r="D302" s="5"/>
      <c r="E302" s="5"/>
      <c r="F302" s="84"/>
      <c r="G302" s="6"/>
      <c r="H302" s="95"/>
      <c r="I302" s="7"/>
      <c r="J302" s="7"/>
    </row>
    <row r="303" spans="2:10" ht="15.75">
      <c r="B303" s="19"/>
      <c r="C303" s="8"/>
      <c r="D303" s="5"/>
      <c r="E303" s="5"/>
      <c r="F303" s="84"/>
      <c r="G303" s="6"/>
      <c r="H303" s="95"/>
      <c r="I303" s="7"/>
      <c r="J303" s="7"/>
    </row>
    <row r="304" spans="2:10" ht="15.75">
      <c r="B304" s="19"/>
      <c r="C304" s="8"/>
      <c r="D304" s="5"/>
      <c r="E304" s="5"/>
      <c r="F304" s="84"/>
      <c r="G304" s="6"/>
      <c r="H304" s="95"/>
      <c r="I304" s="7"/>
      <c r="J304" s="7"/>
    </row>
    <row r="305" spans="2:10" ht="15.75">
      <c r="B305" s="19"/>
      <c r="C305" s="8"/>
      <c r="D305" s="5"/>
      <c r="E305" s="5"/>
      <c r="F305" s="84"/>
      <c r="G305" s="6"/>
      <c r="H305" s="95"/>
      <c r="I305" s="7"/>
      <c r="J305" s="7"/>
    </row>
    <row r="306" spans="2:10" ht="15.75">
      <c r="B306" s="19"/>
      <c r="C306" s="8"/>
      <c r="D306" s="5"/>
      <c r="E306" s="5"/>
      <c r="F306" s="84"/>
      <c r="G306" s="6"/>
      <c r="H306" s="95"/>
      <c r="I306" s="7"/>
      <c r="J306" s="7"/>
    </row>
    <row r="307" spans="2:10" ht="15.75">
      <c r="B307" s="19"/>
      <c r="C307" s="8"/>
      <c r="D307" s="5"/>
      <c r="E307" s="5"/>
      <c r="F307" s="84"/>
      <c r="G307" s="6"/>
      <c r="H307" s="95"/>
      <c r="I307" s="7"/>
      <c r="J307" s="7"/>
    </row>
    <row r="308" spans="2:10" ht="15.75">
      <c r="B308" s="19"/>
      <c r="C308" s="8"/>
      <c r="D308" s="5"/>
      <c r="E308" s="5"/>
      <c r="F308" s="84"/>
      <c r="G308" s="6"/>
      <c r="H308" s="95"/>
      <c r="I308" s="7"/>
      <c r="J308" s="7"/>
    </row>
    <row r="309" spans="2:10" ht="15.75">
      <c r="B309" s="19"/>
      <c r="C309" s="8"/>
      <c r="D309" s="5"/>
      <c r="E309" s="5"/>
      <c r="F309" s="84"/>
      <c r="G309" s="6"/>
      <c r="H309" s="95"/>
      <c r="I309" s="7"/>
      <c r="J309" s="7"/>
    </row>
    <row r="310" spans="2:10" ht="15.75">
      <c r="B310" s="19"/>
      <c r="C310" s="8"/>
      <c r="D310" s="5"/>
      <c r="E310" s="5"/>
      <c r="F310" s="84"/>
      <c r="G310" s="6"/>
      <c r="H310" s="95"/>
      <c r="I310" s="7"/>
      <c r="J310" s="7"/>
    </row>
    <row r="311" spans="2:10" ht="15.75">
      <c r="B311" s="19"/>
      <c r="C311" s="8"/>
      <c r="D311" s="5"/>
      <c r="E311" s="5"/>
      <c r="F311" s="84"/>
      <c r="G311" s="6"/>
      <c r="H311" s="95"/>
      <c r="I311" s="7"/>
      <c r="J311" s="7"/>
    </row>
    <row r="312" spans="2:10" ht="15.75">
      <c r="B312" s="19"/>
      <c r="C312" s="8"/>
      <c r="D312" s="5"/>
      <c r="E312" s="5"/>
      <c r="F312" s="84"/>
      <c r="G312" s="6"/>
      <c r="H312" s="95"/>
      <c r="I312" s="7"/>
      <c r="J312" s="7"/>
    </row>
    <row r="313" spans="2:10" ht="15.75">
      <c r="B313" s="19"/>
      <c r="C313" s="8"/>
      <c r="D313" s="5"/>
      <c r="E313" s="5"/>
      <c r="F313" s="84"/>
      <c r="G313" s="6"/>
      <c r="H313" s="95"/>
      <c r="I313" s="7"/>
      <c r="J313" s="7"/>
    </row>
    <row r="314" spans="2:10" ht="15.75">
      <c r="B314" s="19"/>
      <c r="C314" s="8"/>
      <c r="D314" s="5"/>
      <c r="E314" s="5"/>
      <c r="F314" s="84"/>
      <c r="G314" s="6"/>
      <c r="H314" s="95"/>
      <c r="I314" s="7"/>
      <c r="J314" s="7"/>
    </row>
    <row r="315" spans="2:10" ht="15.75">
      <c r="B315" s="19"/>
      <c r="C315" s="8"/>
      <c r="D315" s="5"/>
      <c r="E315" s="5"/>
      <c r="F315" s="84"/>
      <c r="G315" s="6"/>
      <c r="H315" s="95"/>
      <c r="I315" s="7"/>
      <c r="J315" s="7"/>
    </row>
    <row r="316" spans="2:10" ht="15.75">
      <c r="B316" s="19"/>
      <c r="C316" s="8"/>
      <c r="D316" s="5"/>
      <c r="E316" s="5"/>
      <c r="F316" s="84"/>
      <c r="G316" s="6"/>
      <c r="H316" s="95"/>
      <c r="I316" s="7"/>
      <c r="J316" s="7"/>
    </row>
    <row r="317" spans="2:10" ht="15.75">
      <c r="B317" s="19"/>
      <c r="C317" s="8"/>
      <c r="D317" s="5"/>
      <c r="E317" s="5"/>
      <c r="F317" s="84"/>
      <c r="G317" s="6"/>
      <c r="H317" s="95"/>
      <c r="I317" s="7"/>
      <c r="J317" s="7"/>
    </row>
    <row r="318" spans="2:10" ht="15.75">
      <c r="B318" s="19"/>
      <c r="C318" s="8"/>
      <c r="D318" s="5"/>
      <c r="E318" s="5"/>
      <c r="F318" s="84"/>
      <c r="G318" s="6"/>
      <c r="H318" s="95"/>
      <c r="I318" s="7"/>
      <c r="J318" s="7"/>
    </row>
    <row r="319" spans="2:10" ht="15.75">
      <c r="B319" s="19"/>
      <c r="C319" s="8"/>
      <c r="D319" s="5"/>
      <c r="E319" s="5"/>
      <c r="F319" s="84"/>
      <c r="G319" s="6"/>
      <c r="H319" s="95"/>
      <c r="I319" s="7"/>
      <c r="J319" s="7"/>
    </row>
    <row r="320" spans="2:10" ht="15.75">
      <c r="B320" s="19"/>
      <c r="C320" s="8"/>
      <c r="D320" s="5"/>
      <c r="E320" s="5"/>
      <c r="F320" s="84"/>
      <c r="G320" s="6"/>
      <c r="H320" s="95"/>
      <c r="I320" s="7"/>
      <c r="J320" s="7"/>
    </row>
    <row r="321" spans="2:10" ht="15.75">
      <c r="B321" s="19"/>
      <c r="C321" s="8"/>
      <c r="D321" s="5"/>
      <c r="E321" s="5"/>
      <c r="F321" s="84"/>
      <c r="G321" s="6"/>
      <c r="H321" s="95"/>
      <c r="I321" s="7"/>
      <c r="J321" s="7"/>
    </row>
    <row r="322" spans="2:10" ht="15.75">
      <c r="B322" s="19"/>
      <c r="C322" s="8"/>
      <c r="D322" s="5"/>
      <c r="E322" s="5"/>
      <c r="F322" s="84"/>
      <c r="G322" s="6"/>
      <c r="H322" s="95"/>
      <c r="I322" s="7"/>
      <c r="J322" s="7"/>
    </row>
    <row r="323" spans="2:10" ht="15.75">
      <c r="B323" s="19"/>
      <c r="C323" s="8"/>
      <c r="D323" s="5"/>
      <c r="E323" s="5"/>
      <c r="F323" s="84"/>
      <c r="G323" s="6"/>
      <c r="H323" s="95"/>
      <c r="I323" s="7"/>
      <c r="J323" s="7"/>
    </row>
    <row r="324" spans="2:10" ht="15.75">
      <c r="B324" s="19"/>
      <c r="C324" s="8"/>
      <c r="D324" s="5"/>
      <c r="E324" s="5"/>
      <c r="F324" s="84"/>
      <c r="G324" s="6"/>
      <c r="H324" s="95"/>
      <c r="I324" s="7"/>
      <c r="J324" s="7"/>
    </row>
    <row r="325" spans="2:10" ht="15.75">
      <c r="B325" s="19"/>
      <c r="C325" s="8"/>
      <c r="D325" s="5"/>
      <c r="E325" s="5"/>
      <c r="F325" s="84"/>
      <c r="G325" s="6"/>
      <c r="H325" s="95"/>
      <c r="I325" s="7"/>
      <c r="J325" s="7"/>
    </row>
    <row r="326" spans="2:10" ht="15.75">
      <c r="B326" s="19"/>
      <c r="C326" s="8"/>
      <c r="D326" s="5"/>
      <c r="E326" s="5"/>
      <c r="F326" s="84"/>
      <c r="G326" s="6"/>
      <c r="H326" s="95"/>
      <c r="I326" s="7"/>
      <c r="J326" s="7"/>
    </row>
    <row r="327" spans="2:10" ht="15.75">
      <c r="B327" s="19"/>
      <c r="C327" s="8"/>
      <c r="D327" s="5"/>
      <c r="E327" s="5"/>
      <c r="F327" s="84"/>
      <c r="G327" s="6"/>
      <c r="H327" s="95"/>
      <c r="I327" s="7"/>
      <c r="J327" s="7"/>
    </row>
    <row r="328" spans="2:10" ht="15.75">
      <c r="B328" s="19"/>
      <c r="C328" s="8"/>
      <c r="D328" s="5"/>
      <c r="E328" s="5"/>
      <c r="F328" s="84"/>
      <c r="G328" s="6"/>
      <c r="H328" s="95"/>
      <c r="I328" s="7"/>
      <c r="J328" s="7"/>
    </row>
    <row r="329" spans="2:10" ht="15.75">
      <c r="B329" s="19"/>
      <c r="C329" s="8"/>
      <c r="D329" s="5"/>
      <c r="E329" s="5"/>
      <c r="F329" s="84"/>
      <c r="G329" s="6"/>
      <c r="H329" s="95"/>
      <c r="I329" s="7"/>
      <c r="J329" s="7"/>
    </row>
    <row r="330" spans="2:10" ht="15.75">
      <c r="B330" s="19"/>
      <c r="C330" s="8"/>
      <c r="D330" s="5"/>
      <c r="E330" s="5"/>
      <c r="F330" s="84"/>
      <c r="G330" s="6"/>
      <c r="H330" s="95"/>
      <c r="I330" s="7"/>
      <c r="J330" s="7"/>
    </row>
    <row r="331" spans="2:10" ht="15.75">
      <c r="B331" s="19"/>
      <c r="C331" s="8"/>
      <c r="D331" s="5"/>
      <c r="E331" s="5"/>
      <c r="F331" s="84"/>
      <c r="G331" s="6"/>
      <c r="H331" s="95"/>
      <c r="I331" s="7"/>
      <c r="J331" s="7"/>
    </row>
    <row r="332" spans="2:10" ht="15.75">
      <c r="B332" s="19"/>
      <c r="C332" s="8"/>
      <c r="D332" s="5"/>
      <c r="E332" s="5"/>
      <c r="F332" s="84"/>
      <c r="G332" s="6"/>
      <c r="H332" s="95"/>
      <c r="I332" s="7"/>
      <c r="J332" s="7"/>
    </row>
    <row r="333" spans="2:10" ht="15.75">
      <c r="B333" s="19"/>
      <c r="C333" s="8"/>
      <c r="D333" s="5"/>
      <c r="E333" s="5"/>
      <c r="F333" s="84"/>
      <c r="G333" s="6"/>
      <c r="H333" s="95"/>
      <c r="I333" s="7"/>
      <c r="J333" s="7"/>
    </row>
    <row r="334" spans="2:10" ht="15.75">
      <c r="B334" s="19"/>
      <c r="C334" s="8"/>
      <c r="D334" s="5"/>
      <c r="E334" s="5"/>
      <c r="F334" s="84"/>
      <c r="G334" s="6"/>
      <c r="H334" s="95"/>
      <c r="I334" s="7"/>
      <c r="J334" s="7"/>
    </row>
    <row r="335" spans="2:10" ht="15.75">
      <c r="B335" s="19"/>
      <c r="C335" s="8"/>
      <c r="D335" s="5"/>
      <c r="E335" s="5"/>
      <c r="F335" s="84"/>
      <c r="G335" s="6"/>
      <c r="H335" s="95"/>
      <c r="I335" s="7"/>
      <c r="J335" s="7"/>
    </row>
    <row r="336" spans="2:10" ht="15.75">
      <c r="B336" s="19"/>
      <c r="C336" s="8"/>
      <c r="D336" s="5"/>
      <c r="E336" s="5"/>
      <c r="F336" s="84"/>
      <c r="G336" s="6"/>
      <c r="H336" s="95"/>
      <c r="I336" s="7"/>
      <c r="J336" s="7"/>
    </row>
    <row r="337" spans="2:10" ht="15.75">
      <c r="B337" s="19"/>
      <c r="C337" s="8"/>
      <c r="D337" s="5"/>
      <c r="E337" s="5"/>
      <c r="F337" s="84"/>
      <c r="G337" s="6"/>
      <c r="H337" s="95"/>
      <c r="I337" s="7"/>
      <c r="J337" s="7"/>
    </row>
    <row r="338" spans="2:10" ht="15.75">
      <c r="B338" s="19"/>
      <c r="C338" s="8"/>
      <c r="D338" s="5"/>
      <c r="E338" s="5"/>
      <c r="F338" s="84"/>
      <c r="G338" s="6"/>
      <c r="H338" s="95"/>
      <c r="I338" s="7"/>
      <c r="J338" s="7"/>
    </row>
    <row r="339" spans="2:10" ht="15.75">
      <c r="B339" s="19"/>
      <c r="C339" s="8"/>
      <c r="D339" s="5"/>
      <c r="E339" s="5"/>
      <c r="F339" s="84"/>
      <c r="G339" s="6"/>
      <c r="H339" s="95"/>
      <c r="I339" s="7"/>
      <c r="J339" s="7"/>
    </row>
    <row r="340" spans="2:10" ht="15.75">
      <c r="B340" s="19"/>
      <c r="C340" s="8"/>
      <c r="D340" s="5"/>
      <c r="E340" s="5"/>
      <c r="F340" s="84"/>
      <c r="G340" s="6"/>
      <c r="H340" s="95"/>
      <c r="I340" s="7"/>
      <c r="J340" s="7"/>
    </row>
    <row r="341" spans="2:10" ht="15.75">
      <c r="B341" s="19"/>
      <c r="C341" s="8"/>
      <c r="D341" s="5"/>
      <c r="E341" s="5"/>
      <c r="F341" s="84"/>
      <c r="G341" s="6"/>
      <c r="H341" s="95"/>
      <c r="I341" s="7"/>
      <c r="J341" s="7"/>
    </row>
    <row r="342" spans="2:10" ht="15.75">
      <c r="B342" s="19"/>
      <c r="C342" s="8"/>
      <c r="D342" s="5"/>
      <c r="E342" s="5"/>
      <c r="F342" s="84"/>
      <c r="G342" s="6"/>
      <c r="H342" s="95"/>
      <c r="I342" s="7"/>
      <c r="J342" s="7"/>
    </row>
    <row r="343" spans="2:10" ht="15.75">
      <c r="B343" s="19"/>
      <c r="C343" s="8"/>
      <c r="D343" s="5"/>
      <c r="E343" s="5"/>
      <c r="F343" s="84"/>
      <c r="G343" s="6"/>
      <c r="H343" s="95"/>
      <c r="I343" s="7"/>
      <c r="J343" s="7"/>
    </row>
    <row r="344" spans="2:10" ht="15.75">
      <c r="B344" s="19"/>
      <c r="C344" s="8"/>
      <c r="D344" s="5"/>
      <c r="E344" s="5"/>
      <c r="F344" s="84"/>
      <c r="G344" s="6"/>
      <c r="H344" s="95"/>
      <c r="I344" s="7"/>
      <c r="J344" s="7"/>
    </row>
    <row r="345" spans="2:10" ht="15.75">
      <c r="B345" s="19"/>
      <c r="C345" s="8"/>
      <c r="D345" s="5"/>
      <c r="E345" s="5"/>
      <c r="F345" s="84"/>
      <c r="G345" s="6"/>
      <c r="H345" s="95"/>
      <c r="I345" s="7"/>
      <c r="J345" s="7"/>
    </row>
    <row r="346" spans="2:10" ht="15.75">
      <c r="B346" s="19"/>
      <c r="C346" s="8"/>
      <c r="D346" s="5"/>
      <c r="E346" s="5"/>
      <c r="F346" s="84"/>
      <c r="G346" s="6"/>
      <c r="H346" s="95"/>
      <c r="I346" s="7"/>
      <c r="J346" s="7"/>
    </row>
    <row r="347" spans="2:10" ht="15.75">
      <c r="B347" s="19"/>
      <c r="C347" s="8"/>
      <c r="D347" s="5"/>
      <c r="E347" s="5"/>
      <c r="F347" s="84"/>
      <c r="G347" s="6"/>
      <c r="H347" s="95"/>
      <c r="I347" s="7"/>
      <c r="J347" s="7"/>
    </row>
    <row r="348" spans="2:10" ht="15.75">
      <c r="B348" s="19"/>
      <c r="C348" s="8"/>
      <c r="D348" s="5"/>
      <c r="E348" s="5"/>
      <c r="F348" s="84"/>
      <c r="G348" s="6"/>
      <c r="H348" s="95"/>
      <c r="I348" s="7"/>
      <c r="J348" s="7"/>
    </row>
    <row r="349" spans="2:10" ht="15.75">
      <c r="B349" s="19"/>
      <c r="C349" s="8"/>
      <c r="D349" s="5"/>
      <c r="E349" s="5"/>
      <c r="F349" s="84"/>
      <c r="G349" s="6"/>
      <c r="H349" s="95"/>
      <c r="I349" s="7"/>
      <c r="J349" s="7"/>
    </row>
    <row r="350" spans="2:10" ht="15.75">
      <c r="B350" s="19"/>
      <c r="C350" s="8"/>
      <c r="D350" s="5"/>
      <c r="E350" s="5"/>
      <c r="F350" s="84"/>
      <c r="G350" s="6"/>
      <c r="H350" s="95"/>
      <c r="I350" s="7"/>
      <c r="J350" s="7"/>
    </row>
    <row r="351" spans="2:10" ht="15.75">
      <c r="B351" s="19"/>
      <c r="C351" s="8"/>
      <c r="D351" s="5"/>
      <c r="E351" s="5"/>
      <c r="F351" s="84"/>
      <c r="G351" s="6"/>
      <c r="H351" s="95"/>
      <c r="I351" s="7"/>
      <c r="J351" s="7"/>
    </row>
    <row r="352" spans="2:10" ht="15.75">
      <c r="B352" s="19"/>
      <c r="C352" s="8"/>
      <c r="D352" s="5"/>
      <c r="E352" s="5"/>
      <c r="F352" s="84"/>
      <c r="G352" s="6"/>
      <c r="H352" s="95"/>
      <c r="I352" s="7"/>
      <c r="J352" s="7"/>
    </row>
    <row r="353" spans="2:10" ht="15.75">
      <c r="B353" s="19"/>
      <c r="C353" s="8"/>
      <c r="D353" s="5"/>
      <c r="E353" s="5"/>
      <c r="F353" s="84"/>
      <c r="G353" s="6"/>
      <c r="H353" s="95"/>
      <c r="I353" s="7"/>
      <c r="J353" s="7"/>
    </row>
    <row r="354" spans="2:10" ht="15.75">
      <c r="B354" s="19"/>
      <c r="C354" s="8"/>
      <c r="D354" s="5"/>
      <c r="E354" s="5"/>
      <c r="F354" s="84"/>
      <c r="G354" s="6"/>
      <c r="H354" s="95"/>
      <c r="I354" s="7"/>
      <c r="J354" s="7"/>
    </row>
    <row r="355" spans="2:10" ht="15.75">
      <c r="B355" s="19"/>
      <c r="C355" s="8"/>
      <c r="D355" s="5"/>
      <c r="E355" s="5"/>
      <c r="F355" s="84"/>
      <c r="G355" s="6"/>
      <c r="H355" s="95"/>
      <c r="I355" s="7"/>
      <c r="J355" s="7"/>
    </row>
    <row r="356" spans="2:10" ht="15.75">
      <c r="B356" s="19"/>
      <c r="C356" s="8"/>
      <c r="D356" s="5"/>
      <c r="E356" s="5"/>
      <c r="F356" s="84"/>
      <c r="G356" s="6"/>
      <c r="H356" s="95"/>
      <c r="I356" s="7"/>
      <c r="J356" s="7"/>
    </row>
    <row r="357" spans="2:10" ht="15.75">
      <c r="B357" s="19"/>
      <c r="C357" s="8"/>
      <c r="D357" s="5"/>
      <c r="E357" s="5"/>
      <c r="F357" s="84"/>
      <c r="G357" s="6"/>
      <c r="H357" s="95"/>
      <c r="I357" s="7"/>
      <c r="J357" s="7"/>
    </row>
    <row r="358" spans="2:10" ht="15.75">
      <c r="B358" s="19"/>
      <c r="C358" s="8"/>
      <c r="D358" s="5"/>
      <c r="E358" s="5"/>
      <c r="F358" s="84"/>
      <c r="G358" s="6"/>
      <c r="H358" s="95"/>
      <c r="I358" s="7"/>
      <c r="J358" s="7"/>
    </row>
    <row r="359" spans="2:10" ht="15.75">
      <c r="B359" s="19"/>
      <c r="C359" s="8"/>
      <c r="D359" s="5"/>
      <c r="E359" s="5"/>
      <c r="F359" s="84"/>
      <c r="G359" s="6"/>
      <c r="H359" s="95"/>
      <c r="I359" s="7"/>
      <c r="J359" s="7"/>
    </row>
    <row r="360" spans="2:10" ht="15.75">
      <c r="B360" s="19"/>
      <c r="C360" s="8"/>
      <c r="D360" s="5"/>
      <c r="E360" s="5"/>
      <c r="F360" s="84"/>
      <c r="G360" s="6"/>
      <c r="H360" s="95"/>
      <c r="I360" s="7"/>
      <c r="J360" s="7"/>
    </row>
    <row r="361" spans="2:10" ht="15.75">
      <c r="B361" s="19"/>
      <c r="C361" s="8"/>
      <c r="D361" s="5"/>
      <c r="E361" s="5"/>
      <c r="F361" s="84"/>
      <c r="G361" s="6"/>
      <c r="H361" s="95"/>
      <c r="I361" s="7"/>
      <c r="J361" s="7"/>
    </row>
    <row r="362" spans="2:10" ht="15.75">
      <c r="B362" s="19"/>
      <c r="C362" s="8"/>
      <c r="D362" s="5"/>
      <c r="E362" s="5"/>
      <c r="F362" s="84"/>
      <c r="G362" s="6"/>
      <c r="H362" s="95"/>
      <c r="I362" s="7"/>
      <c r="J362" s="7"/>
    </row>
    <row r="363" spans="2:10" ht="15.75">
      <c r="B363" s="19"/>
      <c r="C363" s="8"/>
      <c r="D363" s="5"/>
      <c r="E363" s="5"/>
      <c r="F363" s="84"/>
      <c r="G363" s="6"/>
      <c r="H363" s="95"/>
      <c r="I363" s="7"/>
      <c r="J363" s="7"/>
    </row>
    <row r="364" spans="2:10" ht="15.75">
      <c r="B364" s="19"/>
      <c r="C364" s="8"/>
      <c r="D364" s="5"/>
      <c r="E364" s="5"/>
      <c r="F364" s="84"/>
      <c r="G364" s="6"/>
      <c r="H364" s="95"/>
      <c r="I364" s="7"/>
      <c r="J364" s="7"/>
    </row>
    <row r="365" spans="2:10" ht="15.75">
      <c r="B365" s="19"/>
      <c r="C365" s="8"/>
      <c r="D365" s="5"/>
      <c r="E365" s="5"/>
      <c r="F365" s="84"/>
      <c r="G365" s="6"/>
      <c r="H365" s="95"/>
      <c r="I365" s="7"/>
      <c r="J365" s="7"/>
    </row>
    <row r="366" spans="2:10" ht="15.75">
      <c r="B366" s="19"/>
      <c r="C366" s="8"/>
      <c r="D366" s="5"/>
      <c r="E366" s="5"/>
      <c r="F366" s="84"/>
      <c r="G366" s="6"/>
      <c r="H366" s="95"/>
      <c r="I366" s="7"/>
      <c r="J366" s="7"/>
    </row>
    <row r="367" spans="2:10" ht="15.75">
      <c r="B367" s="19"/>
      <c r="C367" s="8"/>
      <c r="D367" s="5"/>
      <c r="E367" s="5"/>
      <c r="F367" s="84"/>
      <c r="G367" s="6"/>
      <c r="H367" s="95"/>
      <c r="I367" s="7"/>
      <c r="J367" s="7"/>
    </row>
    <row r="368" spans="2:10" ht="15.75">
      <c r="B368" s="19"/>
      <c r="C368" s="8"/>
      <c r="D368" s="5"/>
      <c r="E368" s="5"/>
      <c r="F368" s="84"/>
      <c r="G368" s="6"/>
      <c r="H368" s="95"/>
      <c r="I368" s="7"/>
      <c r="J368" s="7"/>
    </row>
    <row r="369" spans="2:10" ht="15.75">
      <c r="B369" s="19"/>
      <c r="C369" s="8"/>
      <c r="D369" s="5"/>
      <c r="E369" s="5"/>
      <c r="F369" s="84"/>
      <c r="G369" s="6"/>
      <c r="H369" s="95"/>
      <c r="I369" s="7"/>
      <c r="J369" s="7"/>
    </row>
    <row r="370" spans="2:10" ht="15.75">
      <c r="B370" s="19"/>
      <c r="C370" s="8"/>
      <c r="D370" s="5"/>
      <c r="E370" s="5"/>
      <c r="F370" s="84"/>
      <c r="G370" s="6"/>
      <c r="H370" s="95"/>
      <c r="I370" s="7"/>
      <c r="J370" s="7"/>
    </row>
    <row r="371" spans="2:10" ht="15.75">
      <c r="B371" s="19"/>
      <c r="C371" s="8"/>
      <c r="D371" s="5"/>
      <c r="E371" s="5"/>
      <c r="F371" s="84"/>
      <c r="G371" s="6"/>
      <c r="H371" s="95"/>
      <c r="I371" s="7"/>
      <c r="J371" s="7"/>
    </row>
    <row r="372" spans="2:10" ht="15.75">
      <c r="B372" s="19"/>
      <c r="C372" s="8"/>
      <c r="D372" s="5"/>
      <c r="E372" s="5"/>
      <c r="F372" s="84"/>
      <c r="G372" s="6"/>
      <c r="H372" s="95"/>
      <c r="I372" s="7"/>
      <c r="J372" s="7"/>
    </row>
    <row r="373" spans="2:10" ht="15.75">
      <c r="B373" s="19"/>
      <c r="C373" s="8"/>
      <c r="D373" s="5"/>
      <c r="E373" s="5"/>
      <c r="F373" s="84"/>
      <c r="G373" s="6"/>
      <c r="H373" s="95"/>
      <c r="I373" s="7"/>
      <c r="J373" s="7"/>
    </row>
    <row r="374" spans="2:10" ht="15.75">
      <c r="B374" s="19"/>
      <c r="C374" s="8"/>
      <c r="D374" s="5"/>
      <c r="E374" s="5"/>
      <c r="F374" s="84"/>
      <c r="G374" s="6"/>
      <c r="H374" s="95"/>
      <c r="I374" s="7"/>
      <c r="J374" s="7"/>
    </row>
    <row r="375" spans="2:10" ht="15.75">
      <c r="B375" s="19"/>
      <c r="C375" s="8"/>
      <c r="D375" s="5"/>
      <c r="E375" s="5"/>
      <c r="F375" s="84"/>
      <c r="G375" s="6"/>
      <c r="H375" s="95"/>
      <c r="I375" s="7"/>
      <c r="J375" s="7"/>
    </row>
    <row r="376" spans="2:10" ht="15.75">
      <c r="B376" s="19"/>
      <c r="C376" s="8"/>
      <c r="D376" s="5"/>
      <c r="E376" s="5"/>
      <c r="F376" s="84"/>
      <c r="G376" s="6"/>
      <c r="H376" s="95"/>
      <c r="I376" s="7"/>
      <c r="J376" s="7"/>
    </row>
    <row r="377" spans="2:10" ht="15.75">
      <c r="B377" s="19"/>
      <c r="C377" s="8"/>
      <c r="D377" s="5"/>
      <c r="E377" s="5"/>
      <c r="F377" s="84"/>
      <c r="G377" s="6"/>
      <c r="H377" s="95"/>
      <c r="I377" s="7"/>
      <c r="J377" s="7"/>
    </row>
    <row r="378" spans="2:10" ht="15.75">
      <c r="B378" s="19"/>
      <c r="C378" s="8"/>
      <c r="D378" s="5"/>
      <c r="E378" s="5"/>
      <c r="F378" s="84"/>
      <c r="G378" s="6"/>
      <c r="H378" s="95"/>
      <c r="I378" s="7"/>
      <c r="J378" s="7"/>
    </row>
    <row r="379" spans="2:10" ht="15.75">
      <c r="B379" s="19"/>
      <c r="C379" s="8"/>
      <c r="D379" s="5"/>
      <c r="E379" s="5"/>
      <c r="F379" s="84"/>
      <c r="G379" s="6"/>
      <c r="H379" s="95"/>
      <c r="I379" s="7"/>
      <c r="J379" s="7"/>
    </row>
    <row r="380" spans="2:10" ht="15.75">
      <c r="B380" s="19"/>
      <c r="C380" s="8"/>
      <c r="D380" s="5"/>
      <c r="E380" s="5"/>
      <c r="F380" s="84"/>
      <c r="G380" s="6"/>
      <c r="H380" s="95"/>
      <c r="I380" s="7"/>
      <c r="J380" s="7"/>
    </row>
    <row r="381" spans="2:10" ht="15.75">
      <c r="B381" s="19"/>
      <c r="C381" s="8"/>
      <c r="D381" s="5"/>
      <c r="E381" s="5"/>
      <c r="F381" s="84"/>
      <c r="G381" s="6"/>
      <c r="H381" s="95"/>
      <c r="I381" s="7"/>
      <c r="J381" s="7"/>
    </row>
    <row r="382" spans="2:10" ht="15.75">
      <c r="B382" s="19"/>
      <c r="C382" s="8"/>
      <c r="D382" s="5"/>
      <c r="E382" s="5"/>
      <c r="F382" s="84"/>
      <c r="G382" s="6"/>
      <c r="H382" s="95"/>
      <c r="I382" s="7"/>
      <c r="J382" s="7"/>
    </row>
    <row r="383" spans="2:10" ht="15.75">
      <c r="B383" s="19"/>
      <c r="C383" s="8"/>
      <c r="D383" s="5"/>
      <c r="E383" s="5"/>
      <c r="F383" s="84"/>
      <c r="G383" s="6"/>
      <c r="H383" s="95"/>
      <c r="I383" s="7"/>
      <c r="J383" s="7"/>
    </row>
    <row r="384" spans="2:10" ht="15.75">
      <c r="B384" s="19"/>
      <c r="C384" s="8"/>
      <c r="D384" s="5"/>
      <c r="E384" s="5"/>
      <c r="F384" s="84"/>
      <c r="G384" s="6"/>
      <c r="H384" s="95"/>
      <c r="I384" s="7"/>
      <c r="J384" s="7"/>
    </row>
    <row r="385" spans="2:10" ht="15.75">
      <c r="B385" s="19"/>
      <c r="C385" s="8"/>
      <c r="D385" s="5"/>
      <c r="E385" s="5"/>
      <c r="F385" s="84"/>
      <c r="G385" s="6"/>
      <c r="H385" s="95"/>
      <c r="I385" s="7"/>
      <c r="J385" s="7"/>
    </row>
    <row r="386" spans="2:10" ht="15.75">
      <c r="B386" s="19"/>
      <c r="C386" s="8"/>
      <c r="D386" s="5"/>
      <c r="E386" s="5"/>
      <c r="F386" s="84"/>
      <c r="G386" s="6"/>
      <c r="H386" s="95"/>
      <c r="I386" s="7"/>
      <c r="J386" s="7"/>
    </row>
    <row r="387" spans="2:10" ht="15.75">
      <c r="B387" s="19"/>
      <c r="C387" s="8"/>
      <c r="D387" s="5"/>
      <c r="E387" s="5"/>
      <c r="F387" s="84"/>
      <c r="G387" s="6"/>
      <c r="H387" s="95"/>
      <c r="I387" s="7"/>
      <c r="J387" s="7"/>
    </row>
    <row r="388" spans="2:10" ht="15.75">
      <c r="B388" s="19"/>
      <c r="C388" s="8"/>
      <c r="D388" s="5"/>
      <c r="E388" s="5"/>
      <c r="F388" s="84"/>
      <c r="G388" s="6"/>
      <c r="H388" s="95"/>
      <c r="I388" s="7"/>
      <c r="J388" s="7"/>
    </row>
    <row r="389" spans="2:10" ht="15.75">
      <c r="B389" s="19"/>
      <c r="C389" s="8"/>
      <c r="D389" s="5"/>
      <c r="E389" s="5"/>
      <c r="F389" s="84"/>
      <c r="G389" s="6"/>
      <c r="H389" s="95"/>
      <c r="I389" s="7"/>
      <c r="J389" s="7"/>
    </row>
    <row r="390" spans="2:10" ht="15.75">
      <c r="B390" s="19"/>
      <c r="C390" s="8"/>
      <c r="D390" s="5"/>
      <c r="E390" s="5"/>
      <c r="F390" s="84"/>
      <c r="G390" s="6"/>
      <c r="H390" s="95"/>
      <c r="I390" s="7"/>
      <c r="J390" s="7"/>
    </row>
    <row r="391" spans="2:10" ht="15.75">
      <c r="B391" s="19"/>
      <c r="C391" s="8"/>
      <c r="D391" s="5"/>
      <c r="E391" s="5"/>
      <c r="F391" s="84"/>
      <c r="G391" s="6"/>
      <c r="H391" s="95"/>
      <c r="I391" s="7"/>
      <c r="J391" s="7"/>
    </row>
    <row r="392" spans="2:10" ht="15.75">
      <c r="B392" s="19"/>
      <c r="C392" s="8"/>
      <c r="D392" s="5"/>
      <c r="E392" s="5"/>
      <c r="F392" s="84"/>
      <c r="G392" s="6"/>
      <c r="H392" s="95"/>
      <c r="I392" s="7"/>
      <c r="J392" s="7"/>
    </row>
    <row r="393" spans="2:10" ht="15.75">
      <c r="B393" s="19"/>
      <c r="C393" s="8"/>
      <c r="D393" s="5"/>
      <c r="E393" s="5"/>
      <c r="F393" s="84"/>
      <c r="G393" s="6"/>
      <c r="H393" s="95"/>
      <c r="I393" s="7"/>
      <c r="J393" s="7"/>
    </row>
    <row r="394" spans="2:10" ht="15.75">
      <c r="B394" s="19"/>
      <c r="C394" s="8"/>
      <c r="D394" s="5"/>
      <c r="E394" s="5"/>
      <c r="F394" s="84"/>
      <c r="G394" s="6"/>
      <c r="H394" s="95"/>
      <c r="I394" s="7"/>
      <c r="J394" s="7"/>
    </row>
    <row r="395" spans="2:10" ht="15.75">
      <c r="B395" s="19"/>
      <c r="C395" s="8"/>
      <c r="D395" s="5"/>
      <c r="E395" s="5"/>
      <c r="F395" s="84"/>
      <c r="G395" s="6"/>
      <c r="H395" s="95"/>
      <c r="I395" s="7"/>
      <c r="J395" s="7"/>
    </row>
    <row r="396" spans="2:10" ht="15.75">
      <c r="B396" s="19"/>
      <c r="C396" s="8"/>
      <c r="D396" s="5"/>
      <c r="E396" s="5"/>
      <c r="F396" s="84"/>
      <c r="G396" s="6"/>
      <c r="H396" s="95"/>
      <c r="I396" s="7"/>
      <c r="J396" s="7"/>
    </row>
    <row r="397" spans="2:10" ht="15.75">
      <c r="B397" s="19"/>
      <c r="C397" s="8"/>
      <c r="D397" s="5"/>
      <c r="E397" s="5"/>
      <c r="F397" s="84"/>
      <c r="G397" s="6"/>
      <c r="H397" s="95"/>
      <c r="I397" s="7"/>
      <c r="J397" s="7"/>
    </row>
    <row r="398" spans="2:10" ht="15.75">
      <c r="B398" s="19"/>
      <c r="C398" s="8"/>
      <c r="D398" s="5"/>
      <c r="E398" s="5"/>
      <c r="F398" s="84"/>
      <c r="G398" s="6"/>
      <c r="H398" s="95"/>
      <c r="I398" s="7"/>
      <c r="J398" s="7"/>
    </row>
    <row r="399" spans="2:10" ht="15.75">
      <c r="B399" s="19"/>
      <c r="C399" s="8"/>
      <c r="D399" s="5"/>
      <c r="E399" s="5"/>
      <c r="F399" s="84"/>
      <c r="G399" s="6"/>
      <c r="H399" s="95"/>
      <c r="I399" s="7"/>
      <c r="J399" s="7"/>
    </row>
    <row r="400" spans="2:10" ht="15.75">
      <c r="B400" s="19"/>
      <c r="C400" s="8"/>
      <c r="D400" s="5"/>
      <c r="E400" s="5"/>
      <c r="F400" s="84"/>
      <c r="G400" s="6"/>
      <c r="H400" s="95"/>
      <c r="I400" s="7"/>
      <c r="J400" s="7"/>
    </row>
    <row r="401" spans="2:10" ht="15.75">
      <c r="B401" s="19"/>
      <c r="C401" s="8"/>
      <c r="D401" s="5"/>
      <c r="E401" s="5"/>
      <c r="F401" s="84"/>
      <c r="G401" s="6"/>
      <c r="H401" s="95"/>
      <c r="I401" s="7"/>
      <c r="J401" s="7"/>
    </row>
    <row r="402" spans="2:10" ht="15.75">
      <c r="B402" s="19"/>
      <c r="C402" s="8"/>
      <c r="D402" s="5"/>
      <c r="E402" s="5"/>
      <c r="F402" s="84"/>
      <c r="G402" s="6"/>
      <c r="H402" s="95"/>
      <c r="I402" s="7"/>
      <c r="J402" s="7"/>
    </row>
    <row r="403" spans="2:10" ht="15.75">
      <c r="B403" s="19"/>
      <c r="C403" s="8"/>
      <c r="D403" s="5"/>
      <c r="E403" s="5"/>
      <c r="F403" s="84"/>
      <c r="G403" s="6"/>
      <c r="H403" s="95"/>
      <c r="I403" s="7"/>
      <c r="J403" s="7"/>
    </row>
    <row r="404" spans="2:10" ht="15.75">
      <c r="B404" s="19"/>
      <c r="C404" s="8"/>
      <c r="D404" s="5"/>
      <c r="E404" s="5"/>
      <c r="F404" s="84"/>
      <c r="G404" s="6"/>
      <c r="H404" s="95"/>
      <c r="I404" s="7"/>
      <c r="J404" s="7"/>
    </row>
    <row r="405" spans="2:10" ht="15.75">
      <c r="B405" s="19"/>
      <c r="C405" s="8"/>
      <c r="D405" s="5"/>
      <c r="E405" s="5"/>
      <c r="F405" s="84"/>
      <c r="G405" s="6"/>
      <c r="H405" s="95"/>
      <c r="I405" s="7"/>
      <c r="J405" s="7"/>
    </row>
    <row r="406" spans="2:10" ht="15.75">
      <c r="B406" s="19"/>
      <c r="C406" s="8"/>
      <c r="D406" s="5"/>
      <c r="E406" s="5"/>
      <c r="F406" s="84"/>
      <c r="G406" s="6"/>
      <c r="H406" s="95"/>
      <c r="I406" s="7"/>
      <c r="J406" s="7"/>
    </row>
    <row r="407" spans="2:10" ht="15.75">
      <c r="B407" s="19"/>
      <c r="C407" s="8"/>
      <c r="D407" s="5"/>
      <c r="E407" s="5"/>
      <c r="F407" s="84"/>
      <c r="G407" s="6"/>
      <c r="H407" s="95"/>
      <c r="I407" s="7"/>
      <c r="J407" s="7"/>
    </row>
    <row r="408" spans="2:10" ht="15.75">
      <c r="B408" s="19"/>
      <c r="C408" s="8"/>
      <c r="D408" s="5"/>
      <c r="E408" s="5"/>
      <c r="F408" s="84"/>
      <c r="G408" s="6"/>
      <c r="H408" s="95"/>
      <c r="I408" s="7"/>
      <c r="J408" s="7"/>
    </row>
    <row r="409" spans="2:10" ht="15.75">
      <c r="B409" s="19"/>
      <c r="C409" s="8"/>
      <c r="D409" s="5"/>
      <c r="E409" s="5"/>
      <c r="F409" s="84"/>
      <c r="G409" s="6"/>
      <c r="H409" s="95"/>
      <c r="I409" s="7"/>
      <c r="J409" s="7"/>
    </row>
    <row r="410" spans="2:10" ht="15.75">
      <c r="B410" s="19"/>
      <c r="C410" s="8"/>
      <c r="D410" s="5"/>
      <c r="E410" s="5"/>
      <c r="F410" s="84"/>
      <c r="G410" s="6"/>
      <c r="H410" s="95"/>
      <c r="I410" s="7"/>
      <c r="J410" s="7"/>
    </row>
    <row r="411" spans="2:10" ht="15.75">
      <c r="B411" s="19"/>
      <c r="C411" s="8"/>
      <c r="D411" s="5"/>
      <c r="E411" s="5"/>
      <c r="F411" s="84"/>
      <c r="G411" s="6"/>
      <c r="H411" s="95"/>
      <c r="I411" s="7"/>
      <c r="J411" s="7"/>
    </row>
    <row r="412" spans="2:10" ht="15.75">
      <c r="B412" s="19"/>
      <c r="C412" s="8"/>
      <c r="D412" s="5"/>
      <c r="E412" s="5"/>
      <c r="F412" s="84"/>
      <c r="G412" s="6"/>
      <c r="H412" s="95"/>
      <c r="I412" s="7"/>
      <c r="J412" s="7"/>
    </row>
    <row r="413" spans="2:10" ht="15.75">
      <c r="B413" s="19"/>
      <c r="C413" s="8"/>
      <c r="D413" s="5"/>
      <c r="E413" s="5"/>
      <c r="F413" s="84"/>
      <c r="G413" s="6"/>
      <c r="H413" s="95"/>
      <c r="I413" s="7"/>
      <c r="J413" s="7"/>
    </row>
    <row r="414" spans="2:10" ht="15.75">
      <c r="B414" s="19"/>
      <c r="C414" s="8"/>
      <c r="D414" s="5"/>
      <c r="E414" s="5"/>
      <c r="F414" s="84"/>
      <c r="G414" s="6"/>
      <c r="H414" s="95"/>
      <c r="I414" s="7"/>
      <c r="J414" s="7"/>
    </row>
    <row r="415" spans="2:10" ht="15.75">
      <c r="B415" s="19"/>
      <c r="C415" s="8"/>
      <c r="D415" s="5"/>
      <c r="E415" s="5"/>
      <c r="F415" s="84"/>
      <c r="G415" s="6"/>
      <c r="H415" s="95"/>
      <c r="I415" s="7"/>
      <c r="J415" s="7"/>
    </row>
    <row r="416" spans="2:10" ht="15.75">
      <c r="B416" s="19"/>
      <c r="C416" s="8"/>
      <c r="D416" s="5"/>
      <c r="E416" s="5"/>
      <c r="F416" s="84"/>
      <c r="G416" s="6"/>
      <c r="H416" s="95"/>
      <c r="I416" s="7"/>
      <c r="J416" s="7"/>
    </row>
    <row r="417" spans="2:10" ht="15.75">
      <c r="B417" s="19"/>
      <c r="C417" s="8"/>
      <c r="D417" s="5"/>
      <c r="E417" s="5"/>
      <c r="F417" s="84"/>
      <c r="G417" s="6"/>
      <c r="H417" s="95"/>
      <c r="I417" s="7"/>
      <c r="J417" s="7"/>
    </row>
    <row r="418" spans="2:10" ht="15.75">
      <c r="B418" s="19"/>
      <c r="C418" s="8"/>
      <c r="D418" s="5"/>
      <c r="E418" s="5"/>
      <c r="F418" s="84"/>
      <c r="G418" s="6"/>
      <c r="H418" s="95"/>
      <c r="I418" s="7"/>
      <c r="J418" s="7"/>
    </row>
    <row r="419" spans="2:10" ht="15.75">
      <c r="B419" s="19"/>
      <c r="C419" s="8"/>
      <c r="D419" s="5"/>
      <c r="E419" s="5"/>
      <c r="F419" s="84"/>
      <c r="G419" s="6"/>
      <c r="H419" s="95"/>
      <c r="I419" s="7"/>
      <c r="J419" s="7"/>
    </row>
    <row r="420" spans="2:10" ht="15.75">
      <c r="B420" s="19"/>
      <c r="C420" s="8"/>
      <c r="D420" s="5"/>
      <c r="E420" s="5"/>
      <c r="F420" s="84"/>
      <c r="G420" s="6"/>
      <c r="H420" s="95"/>
      <c r="I420" s="7"/>
      <c r="J420" s="7"/>
    </row>
    <row r="421" spans="2:10" ht="15.75">
      <c r="B421" s="19"/>
      <c r="C421" s="8"/>
      <c r="D421" s="5"/>
      <c r="E421" s="5"/>
      <c r="F421" s="84"/>
      <c r="G421" s="6"/>
      <c r="H421" s="95"/>
      <c r="I421" s="7"/>
      <c r="J421" s="7"/>
    </row>
  </sheetData>
  <mergeCells count="59">
    <mergeCell ref="B8:B18"/>
    <mergeCell ref="A8:A18"/>
    <mergeCell ref="B40:B47"/>
    <mergeCell ref="A40:A47"/>
    <mergeCell ref="K6:K7"/>
    <mergeCell ref="L6:L7"/>
    <mergeCell ref="M6:M7"/>
    <mergeCell ref="A143:A148"/>
    <mergeCell ref="B143:B148"/>
    <mergeCell ref="A132:A136"/>
    <mergeCell ref="B132:B136"/>
    <mergeCell ref="A137:A142"/>
    <mergeCell ref="B137:B142"/>
    <mergeCell ref="A116:A125"/>
    <mergeCell ref="A206:H206"/>
    <mergeCell ref="A207:I207"/>
    <mergeCell ref="A149:A155"/>
    <mergeCell ref="B149:B155"/>
    <mergeCell ref="A159:A160"/>
    <mergeCell ref="B159:B160"/>
    <mergeCell ref="B116:B125"/>
    <mergeCell ref="A126:A131"/>
    <mergeCell ref="B126:B131"/>
    <mergeCell ref="A100:A107"/>
    <mergeCell ref="B100:B107"/>
    <mergeCell ref="A108:A115"/>
    <mergeCell ref="B108:B115"/>
    <mergeCell ref="A85:A92"/>
    <mergeCell ref="B85:B92"/>
    <mergeCell ref="B93:B99"/>
    <mergeCell ref="A93:A99"/>
    <mergeCell ref="A78:A84"/>
    <mergeCell ref="B78:B84"/>
    <mergeCell ref="A70:A77"/>
    <mergeCell ref="B70:B77"/>
    <mergeCell ref="A55:A59"/>
    <mergeCell ref="B55:B59"/>
    <mergeCell ref="A60:A69"/>
    <mergeCell ref="B60:B69"/>
    <mergeCell ref="A48:A54"/>
    <mergeCell ref="B48:B54"/>
    <mergeCell ref="A33:A36"/>
    <mergeCell ref="B33:B36"/>
    <mergeCell ref="A37:A39"/>
    <mergeCell ref="B37:B39"/>
    <mergeCell ref="A19:A27"/>
    <mergeCell ref="B19:B27"/>
    <mergeCell ref="A28:A32"/>
    <mergeCell ref="B28:B32"/>
    <mergeCell ref="I6:I7"/>
    <mergeCell ref="J6:J7"/>
    <mergeCell ref="B4:H4"/>
    <mergeCell ref="A6:A7"/>
    <mergeCell ref="B6:B7"/>
    <mergeCell ref="C6:C7"/>
    <mergeCell ref="D6:D7"/>
    <mergeCell ref="E6:E7"/>
    <mergeCell ref="F6:G6"/>
    <mergeCell ref="H6:H7"/>
  </mergeCells>
  <printOptions/>
  <pageMargins left="0.35" right="0.17" top="0.65" bottom="0.41" header="0.46" footer="0.16"/>
  <pageSetup fitToHeight="6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perm</cp:lastModifiedBy>
  <cp:lastPrinted>2008-07-14T12:27:14Z</cp:lastPrinted>
  <dcterms:created xsi:type="dcterms:W3CDTF">2007-09-21T11:07:56Z</dcterms:created>
  <dcterms:modified xsi:type="dcterms:W3CDTF">2008-07-14T13:12:28Z</dcterms:modified>
  <cp:category/>
  <cp:version/>
  <cp:contentType/>
  <cp:contentStatus/>
</cp:coreProperties>
</file>