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на 13.03.2023" sheetId="1" r:id="rId1"/>
  </sheets>
  <definedNames>
    <definedName name="_xlfn.IFERROR" hidden="1">#NAME?</definedName>
    <definedName name="_xlnm._FilterDatabase" localSheetId="0" hidden="1">'на 13.03.2023'!$A$4:$Q$79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13.03.2023'!$3:$4</definedName>
    <definedName name="о">#REF!</definedName>
    <definedName name="_xlnm.Print_Area" localSheetId="0">'на 13.03.2023'!$A$1:$Q$78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<sst xmlns="http://schemas.openxmlformats.org/spreadsheetml/2006/main" count="187" uniqueCount="158">
  <si>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</si>
  <si>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</si>
  <si>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</si>
  <si>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</si>
  <si>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</si>
  <si>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</si>
  <si>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</si>
  <si>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</si>
  <si>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</si>
  <si>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</si>
  <si>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</si>
  <si>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</si>
  <si>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</si>
  <si>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</si>
  <si>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</si>
  <si>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</si>
  <si>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</si>
  <si>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</si>
  <si>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</si>
  <si>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</si>
  <si>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</si>
  <si>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</si>
  <si>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</si>
  <si>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</si>
  <si>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</si>
  <si>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</si>
  <si>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</si>
  <si>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</si>
  <si>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</si>
  <si>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</si>
  <si>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</si>
  <si>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</si>
  <si>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</si>
  <si>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</si>
  <si>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</si>
  <si>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</si>
  <si>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</si>
  <si>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</si>
  <si>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</si>
  <si>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</si>
  <si>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</si>
  <si>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</si>
  <si>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</si>
  <si>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</si>
  <si>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</si>
  <si>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</si>
  <si>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</si>
  <si>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</si>
  <si>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</si>
  <si>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</si>
  <si>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</si>
  <si>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</si>
  <si>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</si>
  <si>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</si>
  <si>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</si>
  <si>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</si>
  <si>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</si>
  <si>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</si>
  <si>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</si>
  <si>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</si>
  <si>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</si>
  <si>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</si>
  <si>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</si>
  <si>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</si>
  <si>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</si>
  <si>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</si>
  <si>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</si>
  <si>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</si>
  <si>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</si>
  <si>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</si>
  <si>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</si>
  <si>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</si>
  <si>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</si>
  <si>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</si>
  <si>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</si>
  <si>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</si>
  <si>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</si>
  <si>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</si>
  <si>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</si>
  <si>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</si>
  <si>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</si>
  <si>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</si>
  <si>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</si>
  <si>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</si>
  <si>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</si>
  <si>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</si>
  <si>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</si>
  <si>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</si>
  <si>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</si>
  <si>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</si>
  <si>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</si>
  <si>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</si>
  <si>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</si>
  <si>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</si>
  <si>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</si>
  <si>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</si>
  <si>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</si>
  <si>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</si>
  <si>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</si>
  <si>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</si>
  <si>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</si>
  <si>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</si>
  <si>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</si>
  <si>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</si>
  <si>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</si>
  <si>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</si>
  <si>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</si>
  <si>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</si>
  <si>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</si>
  <si>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</si>
  <si>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</si>
  <si>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</si>
  <si>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</si>
  <si>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</si>
  <si>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</si>
  <si>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</si>
  <si>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</si>
  <si>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</si>
  <si>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</si>
  <si>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</si>
  <si>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</si>
  <si>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</si>
  <si>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</si>
  <si>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</si>
  <si>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</si>
  <si>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</si>
  <si>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</si>
  <si>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</si>
  <si>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</si>
  <si>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</si>
  <si>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</si>
  <si>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</si>
  <si>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</si>
  <si>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</si>
  <si>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</si>
  <si>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</si>
  <si>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</si>
  <si>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</si>
  <si>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</si>
  <si>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</si>
  <si>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</si>
  <si>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</si>
  <si>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</si>
  <si>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</si>
  <si>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</si>
  <si>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</si>
  <si>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</si>
  <si>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</si>
  <si>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</si>
  <si>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</si>
  <si>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</si>
  <si>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</si>
  <si>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</si>
  <si>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январь-март</t>
  </si>
  <si>
    <t>март</t>
  </si>
  <si>
    <t>факта за март от плана марта</t>
  </si>
  <si>
    <t>Факт с нач. 2022 года      (по 10.03.22 вкл.)</t>
  </si>
  <si>
    <t>с нач. года на 13.03.2023 (по 10.03. вкл.)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</si>
</sst>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5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6" fontId="4" fillId="0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35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8" xfId="129"/>
    <cellStyle name="Обычный 9" xfId="130"/>
    <cellStyle name="Плохой" xfId="131"/>
    <cellStyle name="Пояснение" xfId="132"/>
    <cellStyle name="Примечание" xfId="133"/>
    <cellStyle name="Percent" xfId="134"/>
    <cellStyle name="Процентный 2" xfId="135"/>
    <cellStyle name="Процентный 2 2" xfId="136"/>
    <cellStyle name="Связанная ячейка" xfId="137"/>
    <cellStyle name="Текст предупреждения" xfId="138"/>
    <cellStyle name="Comma" xfId="139"/>
    <cellStyle name="Comma [0]" xfId="140"/>
    <cellStyle name="Финансовый 2" xfId="141"/>
    <cellStyle name="Финансовый 3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80" zoomScaleNormal="8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24" sqref="V24"/>
    </sheetView>
  </sheetViews>
  <sheetFormatPr defaultColWidth="9.00390625" defaultRowHeight="12.75"/>
  <cols>
    <col min="1" max="2" width="9.125" style="63" customWidth="1"/>
    <col min="3" max="3" width="19.375" style="93" hidden="1" customWidth="1"/>
    <col min="4" max="4" width="55.25390625" style="63" customWidth="1"/>
    <col min="5" max="5" width="14.625" style="24" customWidth="1"/>
    <col min="6" max="6" width="15.625" style="63" customWidth="1"/>
    <col min="7" max="8" width="13.00390625" style="63" customWidth="1"/>
    <col min="9" max="9" width="16.25390625" style="63" customWidth="1"/>
    <col min="10" max="10" width="13.875" style="63" customWidth="1"/>
    <col min="11" max="11" width="15.125" style="63" customWidth="1"/>
    <col min="12" max="12" width="14.375" style="63" customWidth="1"/>
    <col min="13" max="13" width="15.625" style="63" customWidth="1"/>
    <col min="14" max="14" width="13.75390625" style="63" customWidth="1"/>
    <col min="15" max="15" width="10.875" style="63" customWidth="1"/>
    <col min="16" max="16" width="10.125" style="63" customWidth="1"/>
    <col min="17" max="17" width="9.25390625" style="63" customWidth="1"/>
    <col min="18" max="16384" width="9.125" style="63" customWidth="1"/>
  </cols>
  <sheetData>
    <row r="1" spans="1:17" ht="20.25">
      <c r="A1" s="106" t="s">
        <v>136</v>
      </c>
      <c r="B1" s="106"/>
      <c r="C1" s="107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0.25" customHeight="1">
      <c r="A2" s="30"/>
      <c r="B2" s="31"/>
      <c r="C2" s="54"/>
      <c r="D2" s="28"/>
      <c r="E2" s="27"/>
      <c r="F2" s="28"/>
      <c r="G2" s="28"/>
      <c r="H2" s="33"/>
      <c r="I2" s="33"/>
      <c r="J2" s="33"/>
      <c r="K2" s="28"/>
      <c r="L2" s="28"/>
      <c r="M2" s="28"/>
      <c r="N2" s="28"/>
      <c r="O2" s="28"/>
      <c r="P2" s="26"/>
      <c r="Q2" s="26" t="s">
        <v>0</v>
      </c>
    </row>
    <row r="3" spans="1:17" ht="20.25" customHeight="1">
      <c r="A3" s="108" t="s">
        <v>1</v>
      </c>
      <c r="B3" s="104" t="s">
        <v>2</v>
      </c>
      <c r="C3" s="109" t="s">
        <v>3</v>
      </c>
      <c r="D3" s="111" t="s">
        <v>4</v>
      </c>
      <c r="E3" s="113" t="s">
        <v>156</v>
      </c>
      <c r="F3" s="115" t="s">
        <v>135</v>
      </c>
      <c r="G3" s="116"/>
      <c r="H3" s="117"/>
      <c r="I3" s="115" t="s">
        <v>137</v>
      </c>
      <c r="J3" s="117"/>
      <c r="K3" s="115" t="s">
        <v>5</v>
      </c>
      <c r="L3" s="116"/>
      <c r="M3" s="116"/>
      <c r="N3" s="117"/>
      <c r="O3" s="119" t="s">
        <v>152</v>
      </c>
      <c r="P3" s="118" t="s">
        <v>150</v>
      </c>
      <c r="Q3" s="119" t="s">
        <v>151</v>
      </c>
    </row>
    <row r="4" spans="1:17" ht="63">
      <c r="A4" s="108"/>
      <c r="B4" s="104"/>
      <c r="C4" s="110"/>
      <c r="D4" s="112"/>
      <c r="E4" s="114"/>
      <c r="F4" s="1" t="s">
        <v>132</v>
      </c>
      <c r="G4" s="1" t="s">
        <v>153</v>
      </c>
      <c r="H4" s="1" t="s">
        <v>154</v>
      </c>
      <c r="I4" s="49" t="s">
        <v>157</v>
      </c>
      <c r="J4" s="1" t="s">
        <v>154</v>
      </c>
      <c r="K4" s="1" t="s">
        <v>138</v>
      </c>
      <c r="L4" s="1" t="s">
        <v>6</v>
      </c>
      <c r="M4" s="1" t="s">
        <v>139</v>
      </c>
      <c r="N4" s="1" t="s">
        <v>155</v>
      </c>
      <c r="O4" s="119"/>
      <c r="P4" s="118"/>
      <c r="Q4" s="119"/>
    </row>
    <row r="5" spans="1:17" ht="29.25" customHeight="1">
      <c r="A5" s="64"/>
      <c r="B5" s="65"/>
      <c r="C5" s="55"/>
      <c r="D5" s="66" t="s">
        <v>7</v>
      </c>
      <c r="E5" s="67">
        <f>E17+E19+E21+E18+E20</f>
        <v>2937043.9699999997</v>
      </c>
      <c r="F5" s="67">
        <f>F17+F19+F21+F18+F20</f>
        <v>20002935.000000004</v>
      </c>
      <c r="G5" s="67">
        <f>G17+G19+G21+G18+G20</f>
        <v>3637018.9999999995</v>
      </c>
      <c r="H5" s="67">
        <f>H17+H19+H21+H18+H20</f>
        <v>2805101.6999999997</v>
      </c>
      <c r="I5" s="67">
        <f>I17+I19+I21+I18+I20</f>
        <v>1737951.7999999998</v>
      </c>
      <c r="J5" s="67">
        <f>J17+J19+J21+J18+J20</f>
        <v>1351396.93</v>
      </c>
      <c r="K5" s="68">
        <f>I5-E5</f>
        <v>-1199092.17</v>
      </c>
      <c r="L5" s="68">
        <f>I5-G5</f>
        <v>-1899067.1999999997</v>
      </c>
      <c r="M5" s="68">
        <f>I5-F5</f>
        <v>-18264983.200000003</v>
      </c>
      <c r="N5" s="68">
        <f>J5-H5</f>
        <v>-1453704.7699999998</v>
      </c>
      <c r="O5" s="69">
        <f aca="true" t="shared" si="0" ref="O5:O36">_xlfn.IFERROR(I5/E5,"")</f>
        <v>0.5917350294214356</v>
      </c>
      <c r="P5" s="69">
        <f aca="true" t="shared" si="1" ref="P5:P36">_xlfn.IFERROR(I5/G5,"")</f>
        <v>0.4778506243712227</v>
      </c>
      <c r="Q5" s="69">
        <f aca="true" t="shared" si="2" ref="Q5:Q36">_xlfn.IFERROR(I5/F5,"")</f>
        <v>0.08688483964978137</v>
      </c>
    </row>
    <row r="6" spans="1:17" ht="15.75">
      <c r="A6" s="133" t="s">
        <v>12</v>
      </c>
      <c r="B6" s="50" t="s">
        <v>13</v>
      </c>
      <c r="C6" s="55" t="s">
        <v>14</v>
      </c>
      <c r="D6" s="4" t="s">
        <v>15</v>
      </c>
      <c r="E6" s="35">
        <v>2209467.4</v>
      </c>
      <c r="F6" s="5">
        <f>14235121.9+613644.6</f>
        <v>14848766.5</v>
      </c>
      <c r="G6" s="5">
        <v>2796612.3</v>
      </c>
      <c r="H6" s="5">
        <v>2055445</v>
      </c>
      <c r="I6" s="34">
        <v>1317743.61</v>
      </c>
      <c r="J6" s="34">
        <v>930377.8099999999</v>
      </c>
      <c r="K6" s="5">
        <f aca="true" t="shared" si="3" ref="K6:K56">I6-E6</f>
        <v>-891723.7899999998</v>
      </c>
      <c r="L6" s="5">
        <f aca="true" t="shared" si="4" ref="L6:L63">I6-G6</f>
        <v>-1478868.6899999997</v>
      </c>
      <c r="M6" s="5">
        <f aca="true" t="shared" si="5" ref="M6:M63">I6-F6</f>
        <v>-13531022.89</v>
      </c>
      <c r="N6" s="5">
        <f>J6-H6</f>
        <v>-1125067.19</v>
      </c>
      <c r="O6" s="43">
        <f t="shared" si="0"/>
        <v>0.5964078085062491</v>
      </c>
      <c r="P6" s="43">
        <f t="shared" si="1"/>
        <v>0.4711928106731134</v>
      </c>
      <c r="Q6" s="43">
        <f t="shared" si="2"/>
        <v>0.08874431488972502</v>
      </c>
    </row>
    <row r="7" spans="1:17" ht="15.75">
      <c r="A7" s="129"/>
      <c r="B7" s="50" t="s">
        <v>8</v>
      </c>
      <c r="C7" s="55" t="s">
        <v>9</v>
      </c>
      <c r="D7" s="2" t="s">
        <v>10</v>
      </c>
      <c r="E7" s="34">
        <v>11708.56</v>
      </c>
      <c r="F7" s="3">
        <v>80057.5</v>
      </c>
      <c r="G7" s="3">
        <v>17850</v>
      </c>
      <c r="H7" s="3">
        <v>11430</v>
      </c>
      <c r="I7" s="38">
        <v>12725.33</v>
      </c>
      <c r="J7" s="38">
        <v>4010.27</v>
      </c>
      <c r="K7" s="3">
        <f>I7-E7</f>
        <v>1016.7700000000004</v>
      </c>
      <c r="L7" s="3">
        <f>I7-G7</f>
        <v>-5124.67</v>
      </c>
      <c r="M7" s="3">
        <f>I7-F7</f>
        <v>-67332.17</v>
      </c>
      <c r="N7" s="3">
        <f>J7-H7</f>
        <v>-7419.73</v>
      </c>
      <c r="O7" s="43">
        <f t="shared" si="0"/>
        <v>1.086839884665578</v>
      </c>
      <c r="P7" s="43">
        <f t="shared" si="1"/>
        <v>0.7129036414565826</v>
      </c>
      <c r="Q7" s="43">
        <f t="shared" si="2"/>
        <v>0.15895237797832806</v>
      </c>
    </row>
    <row r="8" spans="1:17" ht="15.75">
      <c r="A8" s="129"/>
      <c r="B8" s="50" t="s">
        <v>13</v>
      </c>
      <c r="C8" s="56" t="s">
        <v>141</v>
      </c>
      <c r="D8" s="36" t="s">
        <v>140</v>
      </c>
      <c r="E8" s="35"/>
      <c r="F8" s="35">
        <v>1204375.9</v>
      </c>
      <c r="G8" s="35">
        <v>218966.3</v>
      </c>
      <c r="H8" s="35">
        <v>218966.3</v>
      </c>
      <c r="I8" s="34">
        <v>7639.25</v>
      </c>
      <c r="J8" s="34">
        <v>11150.8</v>
      </c>
      <c r="K8" s="5">
        <f>I8-E8</f>
        <v>7639.25</v>
      </c>
      <c r="L8" s="5">
        <f>I8-G8</f>
        <v>-211327.05</v>
      </c>
      <c r="M8" s="5">
        <f>I8-F8</f>
        <v>-1196736.65</v>
      </c>
      <c r="N8" s="5">
        <f aca="true" t="shared" si="6" ref="N8:N63">J8-H8</f>
        <v>-207815.5</v>
      </c>
      <c r="O8" s="43">
        <f t="shared" si="0"/>
      </c>
      <c r="P8" s="43">
        <f t="shared" si="1"/>
        <v>0.03488778866884996</v>
      </c>
      <c r="Q8" s="43">
        <f t="shared" si="2"/>
        <v>0.006342911710538214</v>
      </c>
    </row>
    <row r="9" spans="1:17" ht="15.75">
      <c r="A9" s="129"/>
      <c r="B9" s="50" t="s">
        <v>13</v>
      </c>
      <c r="C9" s="55" t="s">
        <v>16</v>
      </c>
      <c r="D9" s="4" t="s">
        <v>17</v>
      </c>
      <c r="E9" s="35">
        <v>1153.94</v>
      </c>
      <c r="F9" s="5"/>
      <c r="G9" s="5"/>
      <c r="H9" s="5"/>
      <c r="I9" s="38">
        <v>-3720.7700000000004</v>
      </c>
      <c r="J9" s="38">
        <v>241.73000000000002</v>
      </c>
      <c r="K9" s="5">
        <f t="shared" si="3"/>
        <v>-4874.710000000001</v>
      </c>
      <c r="L9" s="5">
        <f>I9-G9</f>
        <v>-3720.7700000000004</v>
      </c>
      <c r="M9" s="5">
        <f t="shared" si="5"/>
        <v>-3720.7700000000004</v>
      </c>
      <c r="N9" s="5">
        <f t="shared" si="6"/>
        <v>241.73000000000002</v>
      </c>
      <c r="O9" s="43">
        <f t="shared" si="0"/>
        <v>-3.2244050817200205</v>
      </c>
      <c r="P9" s="43">
        <f t="shared" si="1"/>
      </c>
      <c r="Q9" s="43">
        <f t="shared" si="2"/>
      </c>
    </row>
    <row r="10" spans="1:17" ht="15.75">
      <c r="A10" s="129"/>
      <c r="B10" s="50" t="s">
        <v>13</v>
      </c>
      <c r="C10" s="55" t="s">
        <v>18</v>
      </c>
      <c r="D10" s="4" t="s">
        <v>19</v>
      </c>
      <c r="E10" s="35">
        <v>165.86</v>
      </c>
      <c r="F10" s="5">
        <v>4690.3</v>
      </c>
      <c r="G10" s="5">
        <v>2720.4</v>
      </c>
      <c r="H10" s="5">
        <v>2720.4</v>
      </c>
      <c r="I10" s="39">
        <v>16.17</v>
      </c>
      <c r="J10" s="39">
        <v>0.03</v>
      </c>
      <c r="K10" s="5">
        <f t="shared" si="3"/>
        <v>-149.69</v>
      </c>
      <c r="L10" s="5">
        <f t="shared" si="4"/>
        <v>-2704.23</v>
      </c>
      <c r="M10" s="5">
        <f t="shared" si="5"/>
        <v>-4674.13</v>
      </c>
      <c r="N10" s="5">
        <f t="shared" si="6"/>
        <v>-2720.37</v>
      </c>
      <c r="O10" s="43">
        <f t="shared" si="0"/>
        <v>0.0974918606053298</v>
      </c>
      <c r="P10" s="43">
        <f t="shared" si="1"/>
        <v>0.005943978826643141</v>
      </c>
      <c r="Q10" s="43">
        <f t="shared" si="2"/>
        <v>0.0034475406690403602</v>
      </c>
    </row>
    <row r="11" spans="1:17" ht="31.5">
      <c r="A11" s="129"/>
      <c r="B11" s="50" t="s">
        <v>13</v>
      </c>
      <c r="C11" s="55" t="s">
        <v>20</v>
      </c>
      <c r="D11" s="4" t="s">
        <v>143</v>
      </c>
      <c r="E11" s="35">
        <v>36034.36</v>
      </c>
      <c r="F11" s="5">
        <v>314766.5</v>
      </c>
      <c r="G11" s="5">
        <v>1823</v>
      </c>
      <c r="H11" s="5">
        <v>0</v>
      </c>
      <c r="I11" s="39">
        <v>-41508.75</v>
      </c>
      <c r="J11" s="39">
        <v>605.28</v>
      </c>
      <c r="K11" s="5">
        <f t="shared" si="3"/>
        <v>-77543.11</v>
      </c>
      <c r="L11" s="5">
        <f t="shared" si="4"/>
        <v>-43331.75</v>
      </c>
      <c r="M11" s="5">
        <f t="shared" si="5"/>
        <v>-356275.25</v>
      </c>
      <c r="N11" s="5">
        <f t="shared" si="6"/>
        <v>605.28</v>
      </c>
      <c r="O11" s="43">
        <f t="shared" si="0"/>
        <v>-1.151921388363773</v>
      </c>
      <c r="P11" s="43">
        <f t="shared" si="1"/>
        <v>-22.76947339550192</v>
      </c>
      <c r="Q11" s="43">
        <f t="shared" si="2"/>
        <v>-0.13187156193559352</v>
      </c>
    </row>
    <row r="12" spans="1:17" ht="15.75">
      <c r="A12" s="129"/>
      <c r="B12" s="50" t="s">
        <v>21</v>
      </c>
      <c r="C12" s="55" t="s">
        <v>22</v>
      </c>
      <c r="D12" s="4" t="s">
        <v>23</v>
      </c>
      <c r="E12" s="35">
        <v>39289.12</v>
      </c>
      <c r="F12" s="5">
        <v>1083466.2</v>
      </c>
      <c r="G12" s="5">
        <v>45300</v>
      </c>
      <c r="H12" s="5">
        <v>12500</v>
      </c>
      <c r="I12" s="39">
        <v>10768.82</v>
      </c>
      <c r="J12" s="39">
        <v>-918.7500000000001</v>
      </c>
      <c r="K12" s="5">
        <f t="shared" si="3"/>
        <v>-28520.300000000003</v>
      </c>
      <c r="L12" s="5">
        <f t="shared" si="4"/>
        <v>-34531.18</v>
      </c>
      <c r="M12" s="5">
        <f t="shared" si="5"/>
        <v>-1072697.38</v>
      </c>
      <c r="N12" s="5">
        <f t="shared" si="6"/>
        <v>-13418.75</v>
      </c>
      <c r="O12" s="43">
        <f t="shared" si="0"/>
        <v>0.2740916569269049</v>
      </c>
      <c r="P12" s="43">
        <f t="shared" si="1"/>
        <v>0.2377222958057395</v>
      </c>
      <c r="Q12" s="43">
        <f t="shared" si="2"/>
        <v>0.00993923022241026</v>
      </c>
    </row>
    <row r="13" spans="1:17" ht="15.75">
      <c r="A13" s="129"/>
      <c r="B13" s="50" t="s">
        <v>104</v>
      </c>
      <c r="C13" s="55" t="s">
        <v>147</v>
      </c>
      <c r="D13" s="4" t="s">
        <v>146</v>
      </c>
      <c r="E13" s="35">
        <v>156613.63</v>
      </c>
      <c r="F13" s="5"/>
      <c r="G13" s="5"/>
      <c r="H13" s="5"/>
      <c r="I13" s="39">
        <v>0</v>
      </c>
      <c r="J13" s="39">
        <v>0</v>
      </c>
      <c r="K13" s="5">
        <f t="shared" si="3"/>
        <v>-156613.63</v>
      </c>
      <c r="L13" s="5">
        <f t="shared" si="4"/>
        <v>0</v>
      </c>
      <c r="M13" s="5">
        <f t="shared" si="5"/>
        <v>0</v>
      </c>
      <c r="N13" s="5">
        <f t="shared" si="6"/>
        <v>0</v>
      </c>
      <c r="O13" s="43">
        <f t="shared" si="0"/>
        <v>0</v>
      </c>
      <c r="P13" s="43">
        <f t="shared" si="1"/>
      </c>
      <c r="Q13" s="43">
        <f t="shared" si="2"/>
      </c>
    </row>
    <row r="14" spans="1:17" ht="15.75">
      <c r="A14" s="129"/>
      <c r="B14" s="50" t="s">
        <v>21</v>
      </c>
      <c r="C14" s="55" t="s">
        <v>24</v>
      </c>
      <c r="D14" s="4" t="s">
        <v>25</v>
      </c>
      <c r="E14" s="35">
        <v>447146.73</v>
      </c>
      <c r="F14" s="5">
        <v>2237196.9</v>
      </c>
      <c r="G14" s="5">
        <v>499900</v>
      </c>
      <c r="H14" s="5">
        <v>481600</v>
      </c>
      <c r="I14" s="39">
        <v>405220.58999999997</v>
      </c>
      <c r="J14" s="39">
        <v>400918.1</v>
      </c>
      <c r="K14" s="5">
        <f t="shared" si="3"/>
        <v>-41926.140000000014</v>
      </c>
      <c r="L14" s="5">
        <f t="shared" si="4"/>
        <v>-94679.41000000003</v>
      </c>
      <c r="M14" s="5">
        <f t="shared" si="5"/>
        <v>-1831976.31</v>
      </c>
      <c r="N14" s="5">
        <f t="shared" si="6"/>
        <v>-80681.90000000002</v>
      </c>
      <c r="O14" s="43">
        <f t="shared" si="0"/>
        <v>0.9062362817681793</v>
      </c>
      <c r="P14" s="43">
        <f t="shared" si="1"/>
        <v>0.810603300660132</v>
      </c>
      <c r="Q14" s="43">
        <f t="shared" si="2"/>
        <v>0.18112871066467148</v>
      </c>
    </row>
    <row r="15" spans="1:17" ht="15.75">
      <c r="A15" s="129"/>
      <c r="B15" s="50" t="s">
        <v>26</v>
      </c>
      <c r="C15" s="55" t="s">
        <v>27</v>
      </c>
      <c r="D15" s="4" t="s">
        <v>28</v>
      </c>
      <c r="E15" s="35">
        <v>35188.41</v>
      </c>
      <c r="F15" s="5">
        <v>228385.6</v>
      </c>
      <c r="G15" s="5">
        <v>53580</v>
      </c>
      <c r="H15" s="5">
        <v>22310</v>
      </c>
      <c r="I15" s="35">
        <v>28983.25</v>
      </c>
      <c r="J15" s="35">
        <v>5000.469999999999</v>
      </c>
      <c r="K15" s="5">
        <f t="shared" si="3"/>
        <v>-6205.1600000000035</v>
      </c>
      <c r="L15" s="5">
        <f t="shared" si="4"/>
        <v>-24596.75</v>
      </c>
      <c r="M15" s="5">
        <f t="shared" si="5"/>
        <v>-199402.35</v>
      </c>
      <c r="N15" s="5">
        <f t="shared" si="6"/>
        <v>-17309.53</v>
      </c>
      <c r="O15" s="43">
        <f t="shared" si="0"/>
        <v>0.8236589831708792</v>
      </c>
      <c r="P15" s="43">
        <f t="shared" si="1"/>
        <v>0.5409341172079134</v>
      </c>
      <c r="Q15" s="43">
        <f t="shared" si="2"/>
        <v>0.1269048924275436</v>
      </c>
    </row>
    <row r="16" spans="1:17" ht="15.75">
      <c r="A16" s="129"/>
      <c r="B16" s="50" t="s">
        <v>21</v>
      </c>
      <c r="C16" s="55" t="s">
        <v>29</v>
      </c>
      <c r="D16" s="4" t="s">
        <v>30</v>
      </c>
      <c r="E16" s="35">
        <v>17.96</v>
      </c>
      <c r="F16" s="5"/>
      <c r="G16" s="5"/>
      <c r="H16" s="5"/>
      <c r="I16" s="42">
        <v>-0.1</v>
      </c>
      <c r="J16" s="42">
        <v>2.19</v>
      </c>
      <c r="K16" s="5">
        <f t="shared" si="3"/>
        <v>-18.060000000000002</v>
      </c>
      <c r="L16" s="5">
        <f t="shared" si="4"/>
        <v>-0.1</v>
      </c>
      <c r="M16" s="5">
        <f t="shared" si="5"/>
        <v>-0.1</v>
      </c>
      <c r="N16" s="5">
        <f t="shared" si="6"/>
        <v>2.19</v>
      </c>
      <c r="O16" s="43">
        <f t="shared" si="0"/>
        <v>-0.005567928730512249</v>
      </c>
      <c r="P16" s="43">
        <f t="shared" si="1"/>
      </c>
      <c r="Q16" s="43">
        <f t="shared" si="2"/>
      </c>
    </row>
    <row r="17" spans="1:17" ht="15.75">
      <c r="A17" s="130"/>
      <c r="B17" s="70"/>
      <c r="C17" s="71"/>
      <c r="D17" s="72" t="s">
        <v>11</v>
      </c>
      <c r="E17" s="73">
        <f>SUM(E6:E16)</f>
        <v>2936785.9699999997</v>
      </c>
      <c r="F17" s="29">
        <f>SUM(F6:F16)</f>
        <v>20001705.400000002</v>
      </c>
      <c r="G17" s="29">
        <f>SUM(G6:G16)</f>
        <v>3636751.9999999995</v>
      </c>
      <c r="H17" s="29">
        <f>SUM(H6:H16)</f>
        <v>2804971.6999999997</v>
      </c>
      <c r="I17" s="29">
        <f>SUM(I6:I16)</f>
        <v>1737867.4</v>
      </c>
      <c r="J17" s="29">
        <f>SUM(J6:J16)</f>
        <v>1351387.93</v>
      </c>
      <c r="K17" s="29">
        <f t="shared" si="3"/>
        <v>-1198918.5699999998</v>
      </c>
      <c r="L17" s="29">
        <f t="shared" si="4"/>
        <v>-1898884.5999999996</v>
      </c>
      <c r="M17" s="29">
        <f t="shared" si="5"/>
        <v>-18263838.000000004</v>
      </c>
      <c r="N17" s="29">
        <f t="shared" si="6"/>
        <v>-1453583.7699999998</v>
      </c>
      <c r="O17" s="74">
        <f t="shared" si="0"/>
        <v>0.5917582751187006</v>
      </c>
      <c r="P17" s="74">
        <f t="shared" si="1"/>
        <v>0.4778624992850764</v>
      </c>
      <c r="Q17" s="74">
        <f t="shared" si="2"/>
        <v>0.08688596123408555</v>
      </c>
    </row>
    <row r="18" spans="1:17" ht="15.75">
      <c r="A18" s="51" t="s">
        <v>101</v>
      </c>
      <c r="B18" s="50" t="s">
        <v>32</v>
      </c>
      <c r="C18" s="55" t="s">
        <v>34</v>
      </c>
      <c r="D18" s="4" t="s">
        <v>35</v>
      </c>
      <c r="E18" s="35">
        <v>28</v>
      </c>
      <c r="F18" s="5">
        <v>140</v>
      </c>
      <c r="G18" s="5">
        <v>35</v>
      </c>
      <c r="H18" s="5">
        <v>15</v>
      </c>
      <c r="I18" s="37">
        <v>24</v>
      </c>
      <c r="J18" s="37">
        <v>0</v>
      </c>
      <c r="K18" s="5">
        <f t="shared" si="3"/>
        <v>-4</v>
      </c>
      <c r="L18" s="5">
        <f t="shared" si="4"/>
        <v>-11</v>
      </c>
      <c r="M18" s="5">
        <f t="shared" si="5"/>
        <v>-116</v>
      </c>
      <c r="N18" s="5">
        <f t="shared" si="6"/>
        <v>-15</v>
      </c>
      <c r="O18" s="43">
        <f t="shared" si="0"/>
        <v>0.8571428571428571</v>
      </c>
      <c r="P18" s="43">
        <f t="shared" si="1"/>
        <v>0.6857142857142857</v>
      </c>
      <c r="Q18" s="43">
        <f t="shared" si="2"/>
        <v>0.17142857142857143</v>
      </c>
    </row>
    <row r="19" spans="1:17" ht="19.5" customHeight="1">
      <c r="A19" s="51" t="s">
        <v>31</v>
      </c>
      <c r="B19" s="50" t="s">
        <v>32</v>
      </c>
      <c r="C19" s="55" t="s">
        <v>33</v>
      </c>
      <c r="D19" s="4" t="s">
        <v>142</v>
      </c>
      <c r="E19" s="35">
        <v>32.8</v>
      </c>
      <c r="F19" s="5"/>
      <c r="G19" s="5"/>
      <c r="H19" s="5"/>
      <c r="I19" s="37">
        <v>23.2</v>
      </c>
      <c r="J19" s="37">
        <v>4</v>
      </c>
      <c r="K19" s="5">
        <f t="shared" si="3"/>
        <v>-9.599999999999998</v>
      </c>
      <c r="L19" s="5">
        <f t="shared" si="4"/>
        <v>23.2</v>
      </c>
      <c r="M19" s="5">
        <f t="shared" si="5"/>
        <v>23.2</v>
      </c>
      <c r="N19" s="5">
        <f t="shared" si="6"/>
        <v>4</v>
      </c>
      <c r="O19" s="43">
        <f t="shared" si="0"/>
        <v>0.7073170731707318</v>
      </c>
      <c r="P19" s="43">
        <f t="shared" si="1"/>
      </c>
      <c r="Q19" s="43">
        <f t="shared" si="2"/>
      </c>
    </row>
    <row r="20" spans="1:17" ht="31.5">
      <c r="A20" s="52" t="s">
        <v>38</v>
      </c>
      <c r="B20" s="53" t="s">
        <v>103</v>
      </c>
      <c r="C20" s="55" t="s">
        <v>39</v>
      </c>
      <c r="D20" s="4" t="s">
        <v>40</v>
      </c>
      <c r="E20" s="35">
        <v>187.2</v>
      </c>
      <c r="F20" s="5">
        <v>969.6</v>
      </c>
      <c r="G20" s="5">
        <v>222</v>
      </c>
      <c r="H20" s="5">
        <v>110</v>
      </c>
      <c r="I20" s="37">
        <v>27.2</v>
      </c>
      <c r="J20" s="37">
        <v>0</v>
      </c>
      <c r="K20" s="5">
        <f t="shared" si="3"/>
        <v>-160</v>
      </c>
      <c r="L20" s="5">
        <f t="shared" si="4"/>
        <v>-194.8</v>
      </c>
      <c r="M20" s="5">
        <f t="shared" si="5"/>
        <v>-942.4</v>
      </c>
      <c r="N20" s="5">
        <f t="shared" si="6"/>
        <v>-110</v>
      </c>
      <c r="O20" s="43">
        <f t="shared" si="0"/>
        <v>0.1452991452991453</v>
      </c>
      <c r="P20" s="43">
        <f t="shared" si="1"/>
        <v>0.12252252252252252</v>
      </c>
      <c r="Q20" s="43">
        <f t="shared" si="2"/>
        <v>0.028052805280528052</v>
      </c>
    </row>
    <row r="21" spans="1:17" ht="15.75">
      <c r="A21" s="51" t="s">
        <v>36</v>
      </c>
      <c r="B21" s="50" t="s">
        <v>13</v>
      </c>
      <c r="C21" s="55" t="s">
        <v>37</v>
      </c>
      <c r="D21" s="4" t="s">
        <v>105</v>
      </c>
      <c r="E21" s="35">
        <v>10</v>
      </c>
      <c r="F21" s="5">
        <v>120</v>
      </c>
      <c r="G21" s="5">
        <v>10</v>
      </c>
      <c r="H21" s="5">
        <v>5</v>
      </c>
      <c r="I21" s="37">
        <v>10</v>
      </c>
      <c r="J21" s="37">
        <v>5</v>
      </c>
      <c r="K21" s="5">
        <f t="shared" si="3"/>
        <v>0</v>
      </c>
      <c r="L21" s="5">
        <f t="shared" si="4"/>
        <v>0</v>
      </c>
      <c r="M21" s="5">
        <f t="shared" si="5"/>
        <v>-110</v>
      </c>
      <c r="N21" s="5">
        <f t="shared" si="6"/>
        <v>0</v>
      </c>
      <c r="O21" s="43">
        <f t="shared" si="0"/>
        <v>1</v>
      </c>
      <c r="P21" s="43">
        <f t="shared" si="1"/>
        <v>1</v>
      </c>
      <c r="Q21" s="43">
        <f t="shared" si="2"/>
        <v>0.08333333333333333</v>
      </c>
    </row>
    <row r="22" spans="1:17" ht="27.75" customHeight="1">
      <c r="A22" s="134"/>
      <c r="B22" s="134"/>
      <c r="C22" s="135"/>
      <c r="D22" s="75" t="s">
        <v>41</v>
      </c>
      <c r="E22" s="68">
        <f aca="true" t="shared" si="7" ref="E22:J22">E26+E29+E37+E45+E47+E52+E55+E57+E66</f>
        <v>973812.2199999997</v>
      </c>
      <c r="F22" s="68">
        <f t="shared" si="7"/>
        <v>6086578.0200000005</v>
      </c>
      <c r="G22" s="68">
        <f t="shared" si="7"/>
        <v>1360104.7000000002</v>
      </c>
      <c r="H22" s="68">
        <f t="shared" si="7"/>
        <v>591966.9</v>
      </c>
      <c r="I22" s="68">
        <f t="shared" si="7"/>
        <v>1266091.6300000001</v>
      </c>
      <c r="J22" s="68">
        <f t="shared" si="7"/>
        <v>179500.38999999998</v>
      </c>
      <c r="K22" s="68">
        <f t="shared" si="3"/>
        <v>292279.4100000004</v>
      </c>
      <c r="L22" s="68">
        <f t="shared" si="4"/>
        <v>-94013.07000000007</v>
      </c>
      <c r="M22" s="68">
        <f t="shared" si="5"/>
        <v>-4820486.390000001</v>
      </c>
      <c r="N22" s="68">
        <f t="shared" si="6"/>
        <v>-412466.51</v>
      </c>
      <c r="O22" s="69">
        <f t="shared" si="0"/>
        <v>1.3001393944306845</v>
      </c>
      <c r="P22" s="69">
        <f t="shared" si="1"/>
        <v>0.9308780640196302</v>
      </c>
      <c r="Q22" s="69">
        <f t="shared" si="2"/>
        <v>0.20801370258291704</v>
      </c>
    </row>
    <row r="23" spans="1:17" ht="31.5">
      <c r="A23" s="124" t="s">
        <v>38</v>
      </c>
      <c r="B23" s="126" t="s">
        <v>103</v>
      </c>
      <c r="C23" s="57" t="s">
        <v>71</v>
      </c>
      <c r="D23" s="6" t="s">
        <v>144</v>
      </c>
      <c r="E23" s="39">
        <v>18574.13</v>
      </c>
      <c r="F23" s="5">
        <f>135475.5+25225.6</f>
        <v>160701.1</v>
      </c>
      <c r="G23" s="5">
        <f>26900+4425</f>
        <v>31325</v>
      </c>
      <c r="H23" s="5">
        <f>11200+4425</f>
        <v>15625</v>
      </c>
      <c r="I23" s="37">
        <v>26929.48</v>
      </c>
      <c r="J23" s="37">
        <v>4878.4</v>
      </c>
      <c r="K23" s="7">
        <f t="shared" si="3"/>
        <v>8355.349999999999</v>
      </c>
      <c r="L23" s="7">
        <f t="shared" si="4"/>
        <v>-4395.52</v>
      </c>
      <c r="M23" s="7">
        <f t="shared" si="5"/>
        <v>-133771.62</v>
      </c>
      <c r="N23" s="7">
        <f t="shared" si="6"/>
        <v>-10746.6</v>
      </c>
      <c r="O23" s="44">
        <f t="shared" si="0"/>
        <v>1.4498380274069362</v>
      </c>
      <c r="P23" s="44">
        <f t="shared" si="1"/>
        <v>0.8596801276935355</v>
      </c>
      <c r="Q23" s="44">
        <f t="shared" si="2"/>
        <v>0.16757495748317838</v>
      </c>
    </row>
    <row r="24" spans="1:17" ht="15.75">
      <c r="A24" s="129"/>
      <c r="B24" s="131"/>
      <c r="C24" s="55" t="s">
        <v>42</v>
      </c>
      <c r="D24" s="6" t="s">
        <v>43</v>
      </c>
      <c r="E24" s="38"/>
      <c r="F24" s="5">
        <v>31937.8</v>
      </c>
      <c r="G24" s="5">
        <f>H24</f>
        <v>0</v>
      </c>
      <c r="H24" s="5">
        <v>0</v>
      </c>
      <c r="I24" s="16">
        <v>0</v>
      </c>
      <c r="J24" s="16">
        <v>0</v>
      </c>
      <c r="K24" s="5">
        <f t="shared" si="3"/>
        <v>0</v>
      </c>
      <c r="L24" s="5">
        <f t="shared" si="4"/>
        <v>0</v>
      </c>
      <c r="M24" s="5">
        <f t="shared" si="5"/>
        <v>-31937.8</v>
      </c>
      <c r="N24" s="5">
        <f t="shared" si="6"/>
        <v>0</v>
      </c>
      <c r="O24" s="44">
        <f t="shared" si="0"/>
      </c>
      <c r="P24" s="44">
        <f t="shared" si="1"/>
      </c>
      <c r="Q24" s="44">
        <f t="shared" si="2"/>
        <v>0</v>
      </c>
    </row>
    <row r="25" spans="1:17" ht="15.75">
      <c r="A25" s="129"/>
      <c r="B25" s="131"/>
      <c r="C25" s="55" t="s">
        <v>72</v>
      </c>
      <c r="D25" s="6" t="s">
        <v>73</v>
      </c>
      <c r="E25" s="38">
        <v>11343</v>
      </c>
      <c r="F25" s="5">
        <f>110819.4+14383.9</f>
        <v>125203.29999999999</v>
      </c>
      <c r="G25" s="5">
        <f>20450+1500</f>
        <v>21950</v>
      </c>
      <c r="H25" s="5">
        <f>7600+1500</f>
        <v>9100</v>
      </c>
      <c r="I25" s="38">
        <v>18378.78</v>
      </c>
      <c r="J25" s="38">
        <v>2594.19</v>
      </c>
      <c r="K25" s="7">
        <f t="shared" si="3"/>
        <v>7035.779999999999</v>
      </c>
      <c r="L25" s="7">
        <f t="shared" si="4"/>
        <v>-3571.220000000001</v>
      </c>
      <c r="M25" s="7">
        <f t="shared" si="5"/>
        <v>-106824.51999999999</v>
      </c>
      <c r="N25" s="7">
        <f t="shared" si="6"/>
        <v>-6505.8099999999995</v>
      </c>
      <c r="O25" s="44">
        <f t="shared" si="0"/>
        <v>1.6202750595080666</v>
      </c>
      <c r="P25" s="44">
        <f t="shared" si="1"/>
        <v>0.8373020501138951</v>
      </c>
      <c r="Q25" s="44">
        <f t="shared" si="2"/>
        <v>0.14679149830715324</v>
      </c>
    </row>
    <row r="26" spans="1:17" ht="15.75">
      <c r="A26" s="130"/>
      <c r="B26" s="132"/>
      <c r="C26" s="71"/>
      <c r="D26" s="72" t="s">
        <v>11</v>
      </c>
      <c r="E26" s="29">
        <f aca="true" t="shared" si="8" ref="E26:J26">SUM(E23:E25)</f>
        <v>29917.13</v>
      </c>
      <c r="F26" s="29">
        <f t="shared" si="8"/>
        <v>317842.19999999995</v>
      </c>
      <c r="G26" s="29">
        <f t="shared" si="8"/>
        <v>53275</v>
      </c>
      <c r="H26" s="29">
        <f t="shared" si="8"/>
        <v>24725</v>
      </c>
      <c r="I26" s="29">
        <f t="shared" si="8"/>
        <v>45308.259999999995</v>
      </c>
      <c r="J26" s="29">
        <f t="shared" si="8"/>
        <v>7472.59</v>
      </c>
      <c r="K26" s="29">
        <f t="shared" si="3"/>
        <v>15391.129999999994</v>
      </c>
      <c r="L26" s="29">
        <f t="shared" si="4"/>
        <v>-7966.740000000005</v>
      </c>
      <c r="M26" s="29">
        <f t="shared" si="5"/>
        <v>-272533.93999999994</v>
      </c>
      <c r="N26" s="29">
        <f t="shared" si="6"/>
        <v>-17252.41</v>
      </c>
      <c r="O26" s="76">
        <f t="shared" si="0"/>
        <v>1.5144587732847365</v>
      </c>
      <c r="P26" s="76">
        <f t="shared" si="1"/>
        <v>0.8504600656968558</v>
      </c>
      <c r="Q26" s="76">
        <f t="shared" si="2"/>
        <v>0.1425495418795868</v>
      </c>
    </row>
    <row r="27" spans="1:17" ht="31.5">
      <c r="A27" s="97">
        <v>951</v>
      </c>
      <c r="B27" s="97" t="s">
        <v>13</v>
      </c>
      <c r="C27" s="57" t="s">
        <v>117</v>
      </c>
      <c r="D27" s="8" t="s">
        <v>45</v>
      </c>
      <c r="E27" s="39">
        <v>16183.18</v>
      </c>
      <c r="F27" s="5">
        <v>91712.1</v>
      </c>
      <c r="G27" s="5">
        <v>18903</v>
      </c>
      <c r="H27" s="5">
        <v>11120</v>
      </c>
      <c r="I27" s="37">
        <v>12208.16</v>
      </c>
      <c r="J27" s="37">
        <v>5083.52</v>
      </c>
      <c r="K27" s="5">
        <f t="shared" si="3"/>
        <v>-3975.0200000000004</v>
      </c>
      <c r="L27" s="5">
        <f t="shared" si="4"/>
        <v>-6694.84</v>
      </c>
      <c r="M27" s="5">
        <f t="shared" si="5"/>
        <v>-79503.94</v>
      </c>
      <c r="N27" s="5">
        <f t="shared" si="6"/>
        <v>-6036.48</v>
      </c>
      <c r="O27" s="44">
        <f t="shared" si="0"/>
        <v>0.7543733679042067</v>
      </c>
      <c r="P27" s="44">
        <f t="shared" si="1"/>
        <v>0.6458318785377982</v>
      </c>
      <c r="Q27" s="44">
        <f t="shared" si="2"/>
        <v>0.13311395115802602</v>
      </c>
    </row>
    <row r="28" spans="1:17" ht="15.75">
      <c r="A28" s="97"/>
      <c r="B28" s="97"/>
      <c r="C28" s="55" t="s">
        <v>116</v>
      </c>
      <c r="D28" s="6" t="s">
        <v>47</v>
      </c>
      <c r="E28" s="39">
        <v>1230.29</v>
      </c>
      <c r="F28" s="5">
        <v>14224.9</v>
      </c>
      <c r="G28" s="5">
        <v>642.3</v>
      </c>
      <c r="H28" s="5">
        <v>11.1</v>
      </c>
      <c r="I28" s="37">
        <v>-121.89000000000001</v>
      </c>
      <c r="J28" s="37">
        <v>20.689999999999998</v>
      </c>
      <c r="K28" s="5">
        <f t="shared" si="3"/>
        <v>-1352.18</v>
      </c>
      <c r="L28" s="5">
        <f t="shared" si="4"/>
        <v>-764.1899999999999</v>
      </c>
      <c r="M28" s="5">
        <f t="shared" si="5"/>
        <v>-14346.789999999999</v>
      </c>
      <c r="N28" s="5">
        <f t="shared" si="6"/>
        <v>9.589999999999998</v>
      </c>
      <c r="O28" s="44">
        <f t="shared" si="0"/>
        <v>-0.09907420201741055</v>
      </c>
      <c r="P28" s="44">
        <f t="shared" si="1"/>
        <v>-0.18977113498365253</v>
      </c>
      <c r="Q28" s="44">
        <f t="shared" si="2"/>
        <v>-0.00856877728490183</v>
      </c>
    </row>
    <row r="29" spans="1:17" ht="15.75">
      <c r="A29" s="97"/>
      <c r="B29" s="97"/>
      <c r="C29" s="71"/>
      <c r="D29" s="77" t="s">
        <v>11</v>
      </c>
      <c r="E29" s="29">
        <f>E27+E28</f>
        <v>17413.47</v>
      </c>
      <c r="F29" s="29">
        <f>F27+F28</f>
        <v>105937</v>
      </c>
      <c r="G29" s="29">
        <f>G27+G28</f>
        <v>19545.3</v>
      </c>
      <c r="H29" s="29">
        <f>H27+H28</f>
        <v>11131.1</v>
      </c>
      <c r="I29" s="29">
        <f>I27+I28</f>
        <v>12086.27</v>
      </c>
      <c r="J29" s="29">
        <f>J27+J28</f>
        <v>5104.21</v>
      </c>
      <c r="K29" s="29">
        <f t="shared" si="3"/>
        <v>-5327.200000000001</v>
      </c>
      <c r="L29" s="29">
        <f t="shared" si="4"/>
        <v>-7459.029999999999</v>
      </c>
      <c r="M29" s="29">
        <f t="shared" si="5"/>
        <v>-93850.73</v>
      </c>
      <c r="N29" s="29">
        <f t="shared" si="6"/>
        <v>-6026.89</v>
      </c>
      <c r="O29" s="76">
        <f t="shared" si="0"/>
        <v>0.6940759079034793</v>
      </c>
      <c r="P29" s="76">
        <f t="shared" si="1"/>
        <v>0.6183721917801211</v>
      </c>
      <c r="Q29" s="76">
        <f t="shared" si="2"/>
        <v>0.1140892228399898</v>
      </c>
    </row>
    <row r="30" spans="1:17" ht="15.75">
      <c r="A30" s="120" t="s">
        <v>48</v>
      </c>
      <c r="B30" s="97" t="s">
        <v>49</v>
      </c>
      <c r="C30" s="55" t="s">
        <v>50</v>
      </c>
      <c r="D30" s="6" t="s">
        <v>51</v>
      </c>
      <c r="E30" s="38"/>
      <c r="F30" s="3">
        <v>496</v>
      </c>
      <c r="G30" s="3">
        <f>H30</f>
        <v>0</v>
      </c>
      <c r="H30" s="3">
        <v>0</v>
      </c>
      <c r="I30" s="38">
        <v>0</v>
      </c>
      <c r="J30" s="38">
        <v>0</v>
      </c>
      <c r="K30" s="3">
        <f t="shared" si="3"/>
        <v>0</v>
      </c>
      <c r="L30" s="3">
        <f t="shared" si="4"/>
        <v>0</v>
      </c>
      <c r="M30" s="3">
        <f t="shared" si="5"/>
        <v>-496</v>
      </c>
      <c r="N30" s="3">
        <f t="shared" si="6"/>
        <v>0</v>
      </c>
      <c r="O30" s="44">
        <f t="shared" si="0"/>
      </c>
      <c r="P30" s="44">
        <f t="shared" si="1"/>
      </c>
      <c r="Q30" s="44">
        <f t="shared" si="2"/>
        <v>0</v>
      </c>
    </row>
    <row r="31" spans="1:17" ht="15.75">
      <c r="A31" s="120"/>
      <c r="B31" s="97"/>
      <c r="C31" s="55" t="s">
        <v>52</v>
      </c>
      <c r="D31" s="9" t="s">
        <v>53</v>
      </c>
      <c r="E31" s="38">
        <v>14577.01</v>
      </c>
      <c r="F31" s="3">
        <v>100081.7</v>
      </c>
      <c r="G31" s="3">
        <v>21000</v>
      </c>
      <c r="H31" s="3">
        <v>8500</v>
      </c>
      <c r="I31" s="38">
        <v>16438.95</v>
      </c>
      <c r="J31" s="38">
        <v>1747.5500000000002</v>
      </c>
      <c r="K31" s="3">
        <f t="shared" si="3"/>
        <v>1861.9400000000005</v>
      </c>
      <c r="L31" s="3">
        <f t="shared" si="4"/>
        <v>-4561.049999999999</v>
      </c>
      <c r="M31" s="3">
        <f t="shared" si="5"/>
        <v>-83642.75</v>
      </c>
      <c r="N31" s="3">
        <f t="shared" si="6"/>
        <v>-6752.45</v>
      </c>
      <c r="O31" s="44">
        <f t="shared" si="0"/>
        <v>1.1277312699929547</v>
      </c>
      <c r="P31" s="44">
        <f t="shared" si="1"/>
        <v>0.7828071428571429</v>
      </c>
      <c r="Q31" s="44">
        <f t="shared" si="2"/>
        <v>0.16425530341710823</v>
      </c>
    </row>
    <row r="32" spans="1:17" ht="15.75">
      <c r="A32" s="120"/>
      <c r="B32" s="97"/>
      <c r="C32" s="57" t="s">
        <v>44</v>
      </c>
      <c r="D32" s="8" t="s">
        <v>54</v>
      </c>
      <c r="E32" s="38">
        <v>110.08</v>
      </c>
      <c r="F32" s="3">
        <v>557</v>
      </c>
      <c r="G32" s="3">
        <v>139.2</v>
      </c>
      <c r="H32" s="3">
        <v>46.4</v>
      </c>
      <c r="I32" s="38">
        <v>2471.05</v>
      </c>
      <c r="J32" s="38">
        <v>709.02</v>
      </c>
      <c r="K32" s="3">
        <f t="shared" si="3"/>
        <v>2360.9700000000003</v>
      </c>
      <c r="L32" s="3">
        <f t="shared" si="4"/>
        <v>2331.8500000000004</v>
      </c>
      <c r="M32" s="3">
        <f t="shared" si="5"/>
        <v>1914.0500000000002</v>
      </c>
      <c r="N32" s="3">
        <f t="shared" si="6"/>
        <v>662.62</v>
      </c>
      <c r="O32" s="44">
        <f t="shared" si="0"/>
        <v>22.447765261627907</v>
      </c>
      <c r="P32" s="44">
        <f t="shared" si="1"/>
        <v>17.751795977011497</v>
      </c>
      <c r="Q32" s="44">
        <f t="shared" si="2"/>
        <v>4.436355475763016</v>
      </c>
    </row>
    <row r="33" spans="1:17" ht="15.75">
      <c r="A33" s="120"/>
      <c r="B33" s="97"/>
      <c r="C33" s="57" t="s">
        <v>55</v>
      </c>
      <c r="D33" s="8" t="s">
        <v>56</v>
      </c>
      <c r="E33" s="5">
        <f aca="true" t="shared" si="9" ref="E33:J33">E34+E36+E35</f>
        <v>9972.86</v>
      </c>
      <c r="F33" s="5">
        <f t="shared" si="9"/>
        <v>171171.09999999998</v>
      </c>
      <c r="G33" s="5">
        <f t="shared" si="9"/>
        <v>98514.00000000001</v>
      </c>
      <c r="H33" s="5">
        <f t="shared" si="9"/>
        <v>91778.70000000001</v>
      </c>
      <c r="I33" s="5">
        <f t="shared" si="9"/>
        <v>130844.01999999999</v>
      </c>
      <c r="J33" s="5">
        <f t="shared" si="9"/>
        <v>2559.9</v>
      </c>
      <c r="K33" s="10">
        <f t="shared" si="3"/>
        <v>120871.15999999999</v>
      </c>
      <c r="L33" s="10">
        <f t="shared" si="4"/>
        <v>32330.019999999975</v>
      </c>
      <c r="M33" s="10">
        <f t="shared" si="5"/>
        <v>-40327.07999999999</v>
      </c>
      <c r="N33" s="10">
        <f t="shared" si="6"/>
        <v>-89218.80000000002</v>
      </c>
      <c r="O33" s="44">
        <f t="shared" si="0"/>
        <v>13.120009706343014</v>
      </c>
      <c r="P33" s="44">
        <f t="shared" si="1"/>
        <v>1.3281769088657447</v>
      </c>
      <c r="Q33" s="44">
        <f t="shared" si="2"/>
        <v>0.7644048557262295</v>
      </c>
    </row>
    <row r="34" spans="1:17" ht="15.75">
      <c r="A34" s="120"/>
      <c r="B34" s="97"/>
      <c r="C34" s="58" t="s">
        <v>119</v>
      </c>
      <c r="D34" s="11" t="s">
        <v>57</v>
      </c>
      <c r="E34" s="40">
        <v>3186.83</v>
      </c>
      <c r="F34" s="12">
        <f>48594.6+85630.3</f>
        <v>134224.9</v>
      </c>
      <c r="G34" s="12">
        <f>3862.8+85630.3</f>
        <v>89493.1</v>
      </c>
      <c r="H34" s="12">
        <f>1510+85630.3</f>
        <v>87140.3</v>
      </c>
      <c r="I34" s="40">
        <v>122113.01</v>
      </c>
      <c r="J34" s="40">
        <v>0</v>
      </c>
      <c r="K34" s="12">
        <f t="shared" si="3"/>
        <v>118926.18</v>
      </c>
      <c r="L34" s="12">
        <f t="shared" si="4"/>
        <v>32619.90999999999</v>
      </c>
      <c r="M34" s="12">
        <f t="shared" si="5"/>
        <v>-12111.89</v>
      </c>
      <c r="N34" s="12">
        <f t="shared" si="6"/>
        <v>-87140.3</v>
      </c>
      <c r="O34" s="44">
        <f t="shared" si="0"/>
        <v>38.31801821873147</v>
      </c>
      <c r="P34" s="44">
        <f t="shared" si="1"/>
        <v>1.3644963689938105</v>
      </c>
      <c r="Q34" s="44">
        <f t="shared" si="2"/>
        <v>0.9097642091743037</v>
      </c>
    </row>
    <row r="35" spans="1:17" ht="15.75">
      <c r="A35" s="120"/>
      <c r="B35" s="97"/>
      <c r="C35" s="58" t="s">
        <v>120</v>
      </c>
      <c r="D35" s="11" t="s">
        <v>58</v>
      </c>
      <c r="E35" s="40">
        <v>106.51</v>
      </c>
      <c r="F35" s="12">
        <v>1867.8</v>
      </c>
      <c r="G35" s="12">
        <v>160.3</v>
      </c>
      <c r="H35" s="12">
        <v>160.3</v>
      </c>
      <c r="I35" s="40">
        <v>560</v>
      </c>
      <c r="J35" s="40">
        <v>0</v>
      </c>
      <c r="K35" s="12">
        <f t="shared" si="3"/>
        <v>453.49</v>
      </c>
      <c r="L35" s="12">
        <f t="shared" si="4"/>
        <v>399.7</v>
      </c>
      <c r="M35" s="12">
        <f t="shared" si="5"/>
        <v>-1307.8</v>
      </c>
      <c r="N35" s="12">
        <f t="shared" si="6"/>
        <v>-160.3</v>
      </c>
      <c r="O35" s="44">
        <f t="shared" si="0"/>
        <v>5.25772227959816</v>
      </c>
      <c r="P35" s="44">
        <f t="shared" si="1"/>
        <v>3.4934497816593884</v>
      </c>
      <c r="Q35" s="44">
        <f t="shared" si="2"/>
        <v>0.29981796766249064</v>
      </c>
    </row>
    <row r="36" spans="1:17" ht="15.75">
      <c r="A36" s="120"/>
      <c r="B36" s="97"/>
      <c r="C36" s="58" t="s">
        <v>118</v>
      </c>
      <c r="D36" s="11" t="s">
        <v>59</v>
      </c>
      <c r="E36" s="29">
        <v>6679.52</v>
      </c>
      <c r="F36" s="5">
        <f>35078.4</f>
        <v>35078.4</v>
      </c>
      <c r="G36" s="5">
        <f>8860.6</f>
        <v>8860.6</v>
      </c>
      <c r="H36" s="5">
        <f>4478.1</f>
        <v>4478.1</v>
      </c>
      <c r="I36" s="29">
        <v>8171.01</v>
      </c>
      <c r="J36" s="40">
        <v>2559.9</v>
      </c>
      <c r="K36" s="12">
        <f t="shared" si="3"/>
        <v>1491.4899999999998</v>
      </c>
      <c r="L36" s="12">
        <f t="shared" si="4"/>
        <v>-689.5900000000001</v>
      </c>
      <c r="M36" s="12">
        <f t="shared" si="5"/>
        <v>-26907.39</v>
      </c>
      <c r="N36" s="12">
        <f t="shared" si="6"/>
        <v>-1918.2000000000003</v>
      </c>
      <c r="O36" s="44">
        <f t="shared" si="0"/>
        <v>1.2232929911131338</v>
      </c>
      <c r="P36" s="44">
        <f t="shared" si="1"/>
        <v>0.9221734419790985</v>
      </c>
      <c r="Q36" s="44">
        <f t="shared" si="2"/>
        <v>0.2329356527093596</v>
      </c>
    </row>
    <row r="37" spans="1:17" ht="15.75">
      <c r="A37" s="120"/>
      <c r="B37" s="120"/>
      <c r="C37" s="71"/>
      <c r="D37" s="77" t="s">
        <v>11</v>
      </c>
      <c r="E37" s="29">
        <f>SUM(E30:E33)</f>
        <v>24659.95</v>
      </c>
      <c r="F37" s="29">
        <f>SUM(F30:F33)</f>
        <v>272305.8</v>
      </c>
      <c r="G37" s="29">
        <f>SUM(G30:G33)</f>
        <v>119653.20000000001</v>
      </c>
      <c r="H37" s="29">
        <f>SUM(H30:H33)</f>
        <v>100325.1</v>
      </c>
      <c r="I37" s="29">
        <f>SUM(I30:I33)</f>
        <v>149754.02</v>
      </c>
      <c r="J37" s="29">
        <f>SUM(J30:J33)</f>
        <v>5016.47</v>
      </c>
      <c r="K37" s="29">
        <f t="shared" si="3"/>
        <v>125094.06999999999</v>
      </c>
      <c r="L37" s="29">
        <f t="shared" si="4"/>
        <v>30100.819999999978</v>
      </c>
      <c r="M37" s="29">
        <f t="shared" si="5"/>
        <v>-122551.78</v>
      </c>
      <c r="N37" s="29">
        <f t="shared" si="6"/>
        <v>-95308.63</v>
      </c>
      <c r="O37" s="76">
        <f aca="true" t="shared" si="10" ref="O37:O62">_xlfn.IFERROR(I37/E37,"")</f>
        <v>6.0727625157390825</v>
      </c>
      <c r="P37" s="76">
        <f aca="true" t="shared" si="11" ref="P37:P62">_xlfn.IFERROR(I37/G37,"")</f>
        <v>1.2515671958627097</v>
      </c>
      <c r="Q37" s="76">
        <f aca="true" t="shared" si="12" ref="Q37:Q62">_xlfn.IFERROR(I37/F37,"")</f>
        <v>0.5499479629152225</v>
      </c>
    </row>
    <row r="38" spans="1:17" ht="31.5">
      <c r="A38" s="120" t="s">
        <v>102</v>
      </c>
      <c r="B38" s="97" t="s">
        <v>21</v>
      </c>
      <c r="C38" s="57" t="s">
        <v>131</v>
      </c>
      <c r="D38" s="8" t="s">
        <v>61</v>
      </c>
      <c r="E38" s="39">
        <v>68286.19</v>
      </c>
      <c r="F38" s="5">
        <v>326627.4</v>
      </c>
      <c r="G38" s="5">
        <v>94600.5</v>
      </c>
      <c r="H38" s="5">
        <v>40000</v>
      </c>
      <c r="I38" s="39">
        <v>70308.8</v>
      </c>
      <c r="J38" s="39">
        <v>7123.4</v>
      </c>
      <c r="K38" s="10">
        <f t="shared" si="3"/>
        <v>2022.6100000000006</v>
      </c>
      <c r="L38" s="10">
        <f t="shared" si="4"/>
        <v>-24291.699999999997</v>
      </c>
      <c r="M38" s="10">
        <f t="shared" si="5"/>
        <v>-256318.60000000003</v>
      </c>
      <c r="N38" s="10">
        <f t="shared" si="6"/>
        <v>-32876.6</v>
      </c>
      <c r="O38" s="44">
        <f t="shared" si="10"/>
        <v>1.0296196053696949</v>
      </c>
      <c r="P38" s="44">
        <f t="shared" si="11"/>
        <v>0.7432180591011676</v>
      </c>
      <c r="Q38" s="44">
        <f t="shared" si="12"/>
        <v>0.21525689516556173</v>
      </c>
    </row>
    <row r="39" spans="1:17" ht="31.5">
      <c r="A39" s="120"/>
      <c r="B39" s="97"/>
      <c r="C39" s="57" t="s">
        <v>129</v>
      </c>
      <c r="D39" s="8" t="s">
        <v>62</v>
      </c>
      <c r="E39" s="39">
        <v>4867.22</v>
      </c>
      <c r="F39" s="5">
        <f>245061.4+9204.6</f>
        <v>254266</v>
      </c>
      <c r="G39" s="5">
        <v>43700</v>
      </c>
      <c r="H39" s="5">
        <v>24300</v>
      </c>
      <c r="I39" s="39">
        <v>35774.67</v>
      </c>
      <c r="J39" s="39">
        <v>11389.93</v>
      </c>
      <c r="K39" s="10">
        <f t="shared" si="3"/>
        <v>30907.449999999997</v>
      </c>
      <c r="L39" s="10">
        <f t="shared" si="4"/>
        <v>-7925.330000000002</v>
      </c>
      <c r="M39" s="10">
        <f t="shared" si="5"/>
        <v>-218491.33000000002</v>
      </c>
      <c r="N39" s="10">
        <f t="shared" si="6"/>
        <v>-12910.07</v>
      </c>
      <c r="O39" s="44">
        <f t="shared" si="10"/>
        <v>7.350123890023462</v>
      </c>
      <c r="P39" s="44">
        <f t="shared" si="11"/>
        <v>0.8186423340961098</v>
      </c>
      <c r="Q39" s="44">
        <f t="shared" si="12"/>
        <v>0.1406978125270386</v>
      </c>
    </row>
    <row r="40" spans="1:17" ht="31.5">
      <c r="A40" s="120"/>
      <c r="B40" s="97"/>
      <c r="C40" s="55" t="s">
        <v>134</v>
      </c>
      <c r="D40" s="6" t="s">
        <v>63</v>
      </c>
      <c r="E40" s="39">
        <v>9330.64</v>
      </c>
      <c r="F40" s="5">
        <f>48566.2-5534.78</f>
        <v>43031.42</v>
      </c>
      <c r="G40" s="5">
        <f>13800-2460</f>
        <v>11340</v>
      </c>
      <c r="H40" s="5">
        <f>6400-2460</f>
        <v>3940</v>
      </c>
      <c r="I40" s="39">
        <v>7334.84</v>
      </c>
      <c r="J40" s="39">
        <v>756.75</v>
      </c>
      <c r="K40" s="5">
        <f t="shared" si="3"/>
        <v>-1995.7999999999993</v>
      </c>
      <c r="L40" s="5">
        <f t="shared" si="4"/>
        <v>-4005.16</v>
      </c>
      <c r="M40" s="5">
        <f t="shared" si="5"/>
        <v>-35696.58</v>
      </c>
      <c r="N40" s="5">
        <f t="shared" si="6"/>
        <v>-3183.25</v>
      </c>
      <c r="O40" s="44">
        <f t="shared" si="10"/>
        <v>0.786102561024753</v>
      </c>
      <c r="P40" s="44">
        <f t="shared" si="11"/>
        <v>0.6468112874779541</v>
      </c>
      <c r="Q40" s="44">
        <f t="shared" si="12"/>
        <v>0.17045312471677673</v>
      </c>
    </row>
    <row r="41" spans="1:17" ht="31.5">
      <c r="A41" s="121"/>
      <c r="B41" s="98"/>
      <c r="C41" s="59" t="s">
        <v>107</v>
      </c>
      <c r="D41" s="13" t="s">
        <v>108</v>
      </c>
      <c r="E41" s="39">
        <v>1328.28</v>
      </c>
      <c r="F41" s="5">
        <v>2948.3</v>
      </c>
      <c r="G41" s="5">
        <v>1412.3</v>
      </c>
      <c r="H41" s="5">
        <v>1412.3</v>
      </c>
      <c r="I41" s="39">
        <v>1504.1599999999999</v>
      </c>
      <c r="J41" s="39">
        <v>12.15</v>
      </c>
      <c r="K41" s="5">
        <f t="shared" si="3"/>
        <v>175.87999999999988</v>
      </c>
      <c r="L41" s="5">
        <f t="shared" si="4"/>
        <v>91.8599999999999</v>
      </c>
      <c r="M41" s="5">
        <f t="shared" si="5"/>
        <v>-1444.1400000000003</v>
      </c>
      <c r="N41" s="5">
        <f t="shared" si="6"/>
        <v>-1400.1499999999999</v>
      </c>
      <c r="O41" s="44">
        <f t="shared" si="10"/>
        <v>1.1324118408769235</v>
      </c>
      <c r="P41" s="44">
        <f t="shared" si="11"/>
        <v>1.0650428379239538</v>
      </c>
      <c r="Q41" s="44">
        <f t="shared" si="12"/>
        <v>0.5101787470745853</v>
      </c>
    </row>
    <row r="42" spans="1:17" ht="15.75">
      <c r="A42" s="122"/>
      <c r="B42" s="123"/>
      <c r="C42" s="60" t="s">
        <v>122</v>
      </c>
      <c r="D42" s="14" t="s">
        <v>121</v>
      </c>
      <c r="E42" s="39">
        <v>56.27</v>
      </c>
      <c r="F42" s="5"/>
      <c r="G42" s="5"/>
      <c r="H42" s="5"/>
      <c r="I42" s="39">
        <v>33.89</v>
      </c>
      <c r="J42" s="39">
        <v>23.25</v>
      </c>
      <c r="K42" s="5">
        <f t="shared" si="3"/>
        <v>-22.380000000000003</v>
      </c>
      <c r="L42" s="5">
        <f t="shared" si="4"/>
        <v>33.89</v>
      </c>
      <c r="M42" s="5">
        <f t="shared" si="5"/>
        <v>33.89</v>
      </c>
      <c r="N42" s="5">
        <f t="shared" si="6"/>
        <v>23.25</v>
      </c>
      <c r="O42" s="44">
        <f t="shared" si="10"/>
        <v>0.6022747467567087</v>
      </c>
      <c r="P42" s="44">
        <f t="shared" si="11"/>
      </c>
      <c r="Q42" s="44">
        <f t="shared" si="12"/>
      </c>
    </row>
    <row r="43" spans="1:17" ht="47.25">
      <c r="A43" s="120"/>
      <c r="B43" s="97"/>
      <c r="C43" s="57" t="s">
        <v>64</v>
      </c>
      <c r="D43" s="8" t="s">
        <v>65</v>
      </c>
      <c r="E43" s="39">
        <v>28800.34</v>
      </c>
      <c r="F43" s="3">
        <v>104142</v>
      </c>
      <c r="G43" s="3">
        <v>15840</v>
      </c>
      <c r="H43" s="3">
        <v>8000</v>
      </c>
      <c r="I43" s="39">
        <v>46420.45</v>
      </c>
      <c r="J43" s="39">
        <v>5143.34</v>
      </c>
      <c r="K43" s="3">
        <f t="shared" si="3"/>
        <v>17620.109999999997</v>
      </c>
      <c r="L43" s="3">
        <f t="shared" si="4"/>
        <v>30580.449999999997</v>
      </c>
      <c r="M43" s="3">
        <f t="shared" si="5"/>
        <v>-57721.55</v>
      </c>
      <c r="N43" s="3">
        <f t="shared" si="6"/>
        <v>-2856.66</v>
      </c>
      <c r="O43" s="44">
        <f t="shared" si="10"/>
        <v>1.6118021523357016</v>
      </c>
      <c r="P43" s="44">
        <f t="shared" si="11"/>
        <v>2.9305839646464644</v>
      </c>
      <c r="Q43" s="44">
        <f t="shared" si="12"/>
        <v>0.4457418716752127</v>
      </c>
    </row>
    <row r="44" spans="1:17" ht="31.5">
      <c r="A44" s="120"/>
      <c r="B44" s="97"/>
      <c r="C44" s="57" t="s">
        <v>66</v>
      </c>
      <c r="D44" s="8" t="s">
        <v>67</v>
      </c>
      <c r="E44" s="38">
        <v>13029.71</v>
      </c>
      <c r="F44" s="3">
        <v>45272.2</v>
      </c>
      <c r="G44" s="3">
        <v>5400</v>
      </c>
      <c r="H44" s="3">
        <v>2200</v>
      </c>
      <c r="I44" s="38">
        <v>14754.13</v>
      </c>
      <c r="J44" s="38">
        <v>2053.86</v>
      </c>
      <c r="K44" s="3">
        <f t="shared" si="3"/>
        <v>1724.42</v>
      </c>
      <c r="L44" s="3">
        <f t="shared" si="4"/>
        <v>9354.13</v>
      </c>
      <c r="M44" s="3">
        <f t="shared" si="5"/>
        <v>-30518.07</v>
      </c>
      <c r="N44" s="3">
        <f t="shared" si="6"/>
        <v>-146.13999999999987</v>
      </c>
      <c r="O44" s="44">
        <f t="shared" si="10"/>
        <v>1.1323452325493046</v>
      </c>
      <c r="P44" s="44">
        <f t="shared" si="11"/>
        <v>2.7322462962962963</v>
      </c>
      <c r="Q44" s="44">
        <f t="shared" si="12"/>
        <v>0.32589823335291856</v>
      </c>
    </row>
    <row r="45" spans="1:17" ht="15.75">
      <c r="A45" s="120"/>
      <c r="B45" s="120"/>
      <c r="C45" s="78"/>
      <c r="D45" s="77" t="s">
        <v>11</v>
      </c>
      <c r="E45" s="29">
        <f aca="true" t="shared" si="13" ref="E45:J45">SUM(E38:E44)</f>
        <v>125698.65</v>
      </c>
      <c r="F45" s="29">
        <f t="shared" si="13"/>
        <v>776287.3200000001</v>
      </c>
      <c r="G45" s="29">
        <f t="shared" si="13"/>
        <v>172292.8</v>
      </c>
      <c r="H45" s="29">
        <f t="shared" si="13"/>
        <v>79852.3</v>
      </c>
      <c r="I45" s="29">
        <f t="shared" si="13"/>
        <v>176130.94</v>
      </c>
      <c r="J45" s="29">
        <f t="shared" si="13"/>
        <v>26502.680000000004</v>
      </c>
      <c r="K45" s="29">
        <f t="shared" si="3"/>
        <v>50432.29000000001</v>
      </c>
      <c r="L45" s="29">
        <f t="shared" si="4"/>
        <v>3838.140000000014</v>
      </c>
      <c r="M45" s="29">
        <f t="shared" si="5"/>
        <v>-600156.3800000001</v>
      </c>
      <c r="N45" s="29">
        <f t="shared" si="6"/>
        <v>-53349.619999999995</v>
      </c>
      <c r="O45" s="44">
        <f t="shared" si="10"/>
        <v>1.4012158444024658</v>
      </c>
      <c r="P45" s="44">
        <f t="shared" si="11"/>
        <v>1.0222768449987465</v>
      </c>
      <c r="Q45" s="44">
        <f t="shared" si="12"/>
        <v>0.22688885347244883</v>
      </c>
    </row>
    <row r="46" spans="1:17" ht="15.75">
      <c r="A46" s="120" t="s">
        <v>68</v>
      </c>
      <c r="B46" s="97" t="s">
        <v>69</v>
      </c>
      <c r="C46" s="55" t="s">
        <v>42</v>
      </c>
      <c r="D46" s="6" t="s">
        <v>43</v>
      </c>
      <c r="E46" s="38"/>
      <c r="F46" s="3">
        <v>4487</v>
      </c>
      <c r="G46" s="3">
        <f>H46</f>
        <v>0</v>
      </c>
      <c r="H46" s="3">
        <v>0</v>
      </c>
      <c r="I46" s="38">
        <v>0</v>
      </c>
      <c r="J46" s="38">
        <v>0</v>
      </c>
      <c r="K46" s="7">
        <f t="shared" si="3"/>
        <v>0</v>
      </c>
      <c r="L46" s="7">
        <f t="shared" si="4"/>
        <v>0</v>
      </c>
      <c r="M46" s="7">
        <f t="shared" si="5"/>
        <v>-4487</v>
      </c>
      <c r="N46" s="7">
        <f t="shared" si="6"/>
        <v>0</v>
      </c>
      <c r="O46" s="44">
        <f t="shared" si="10"/>
      </c>
      <c r="P46" s="44">
        <f t="shared" si="11"/>
      </c>
      <c r="Q46" s="44">
        <f t="shared" si="12"/>
        <v>0</v>
      </c>
    </row>
    <row r="47" spans="1:17" ht="15.75">
      <c r="A47" s="120"/>
      <c r="B47" s="97"/>
      <c r="C47" s="78"/>
      <c r="D47" s="79" t="s">
        <v>11</v>
      </c>
      <c r="E47" s="29">
        <f aca="true" t="shared" si="14" ref="E47:J47">SUM(E46:E46)</f>
        <v>0</v>
      </c>
      <c r="F47" s="80">
        <f t="shared" si="14"/>
        <v>4487</v>
      </c>
      <c r="G47" s="80">
        <f t="shared" si="14"/>
        <v>0</v>
      </c>
      <c r="H47" s="80">
        <f t="shared" si="14"/>
        <v>0</v>
      </c>
      <c r="I47" s="80">
        <f t="shared" si="14"/>
        <v>0</v>
      </c>
      <c r="J47" s="80">
        <f t="shared" si="14"/>
        <v>0</v>
      </c>
      <c r="K47" s="81">
        <f t="shared" si="3"/>
        <v>0</v>
      </c>
      <c r="L47" s="81">
        <f t="shared" si="4"/>
        <v>0</v>
      </c>
      <c r="M47" s="81">
        <f t="shared" si="5"/>
        <v>-4487</v>
      </c>
      <c r="N47" s="81">
        <f t="shared" si="6"/>
        <v>0</v>
      </c>
      <c r="O47" s="44">
        <f t="shared" si="10"/>
      </c>
      <c r="P47" s="44">
        <f t="shared" si="11"/>
      </c>
      <c r="Q47" s="44">
        <f t="shared" si="12"/>
        <v>0</v>
      </c>
    </row>
    <row r="48" spans="1:17" ht="15.75">
      <c r="A48" s="124"/>
      <c r="B48" s="126"/>
      <c r="C48" s="61" t="s">
        <v>112</v>
      </c>
      <c r="D48" s="15" t="s">
        <v>133</v>
      </c>
      <c r="E48" s="38">
        <v>71000.24</v>
      </c>
      <c r="F48" s="3">
        <v>537127.7</v>
      </c>
      <c r="G48" s="3">
        <v>122528.59999999999</v>
      </c>
      <c r="H48" s="3">
        <v>44219.6</v>
      </c>
      <c r="I48" s="38">
        <v>109222.06</v>
      </c>
      <c r="J48" s="38">
        <v>14782.9</v>
      </c>
      <c r="K48" s="7">
        <f t="shared" si="3"/>
        <v>38221.81999999999</v>
      </c>
      <c r="L48" s="7">
        <f t="shared" si="4"/>
        <v>-13306.539999999994</v>
      </c>
      <c r="M48" s="7">
        <f t="shared" si="5"/>
        <v>-427905.63999999996</v>
      </c>
      <c r="N48" s="7">
        <f t="shared" si="6"/>
        <v>-29436.699999999997</v>
      </c>
      <c r="O48" s="44">
        <f t="shared" si="10"/>
        <v>1.5383336732382875</v>
      </c>
      <c r="P48" s="44">
        <f t="shared" si="11"/>
        <v>0.8914005383232976</v>
      </c>
      <c r="Q48" s="44">
        <f t="shared" si="12"/>
        <v>0.2033446794868334</v>
      </c>
    </row>
    <row r="49" spans="1:17" ht="15.75">
      <c r="A49" s="125"/>
      <c r="B49" s="127"/>
      <c r="C49" s="61" t="s">
        <v>113</v>
      </c>
      <c r="D49" s="15" t="s">
        <v>109</v>
      </c>
      <c r="E49" s="38">
        <v>56159.97</v>
      </c>
      <c r="F49" s="38">
        <v>354489</v>
      </c>
      <c r="G49" s="38">
        <v>92821.6</v>
      </c>
      <c r="H49" s="38">
        <v>30416.9</v>
      </c>
      <c r="I49" s="38">
        <v>65876.94</v>
      </c>
      <c r="J49" s="38">
        <v>7645.74</v>
      </c>
      <c r="K49" s="16">
        <f t="shared" si="3"/>
        <v>9716.970000000001</v>
      </c>
      <c r="L49" s="16">
        <f t="shared" si="4"/>
        <v>-26944.660000000003</v>
      </c>
      <c r="M49" s="16">
        <f t="shared" si="5"/>
        <v>-288612.06</v>
      </c>
      <c r="N49" s="16">
        <f t="shared" si="6"/>
        <v>-22771.160000000003</v>
      </c>
      <c r="O49" s="44">
        <f t="shared" si="10"/>
        <v>1.1730230625123197</v>
      </c>
      <c r="P49" s="44">
        <f t="shared" si="11"/>
        <v>0.709715626535203</v>
      </c>
      <c r="Q49" s="44">
        <f t="shared" si="12"/>
        <v>0.1858363447102731</v>
      </c>
    </row>
    <row r="50" spans="1:17" ht="31.5">
      <c r="A50" s="124"/>
      <c r="B50" s="126"/>
      <c r="C50" s="61" t="s">
        <v>114</v>
      </c>
      <c r="D50" s="15" t="s">
        <v>110</v>
      </c>
      <c r="E50" s="38">
        <v>606347.71</v>
      </c>
      <c r="F50" s="5">
        <f>3510723.4+35171.1</f>
        <v>3545894.5</v>
      </c>
      <c r="G50" s="5">
        <v>746501.5</v>
      </c>
      <c r="H50" s="5">
        <v>285700.8</v>
      </c>
      <c r="I50" s="38">
        <v>661396.4900000001</v>
      </c>
      <c r="J50" s="38">
        <v>104162.44</v>
      </c>
      <c r="K50" s="7">
        <f t="shared" si="3"/>
        <v>55048.780000000144</v>
      </c>
      <c r="L50" s="7">
        <f t="shared" si="4"/>
        <v>-85105.0099999999</v>
      </c>
      <c r="M50" s="7">
        <f t="shared" si="5"/>
        <v>-2884498.01</v>
      </c>
      <c r="N50" s="7">
        <f t="shared" si="6"/>
        <v>-181538.36</v>
      </c>
      <c r="O50" s="44">
        <f t="shared" si="10"/>
        <v>1.090787479019258</v>
      </c>
      <c r="P50" s="44">
        <f t="shared" si="11"/>
        <v>0.8859948573445601</v>
      </c>
      <c r="Q50" s="44">
        <f t="shared" si="12"/>
        <v>0.18652458216114443</v>
      </c>
    </row>
    <row r="51" spans="1:17" ht="31.5">
      <c r="A51" s="125"/>
      <c r="B51" s="127"/>
      <c r="C51" s="61" t="s">
        <v>130</v>
      </c>
      <c r="D51" s="15" t="s">
        <v>111</v>
      </c>
      <c r="E51" s="38">
        <v>817</v>
      </c>
      <c r="F51" s="3"/>
      <c r="G51" s="3"/>
      <c r="H51" s="3"/>
      <c r="I51" s="38">
        <v>316.57</v>
      </c>
      <c r="J51" s="38">
        <v>80.82</v>
      </c>
      <c r="K51" s="7">
        <f t="shared" si="3"/>
        <v>-500.43</v>
      </c>
      <c r="L51" s="7">
        <f t="shared" si="4"/>
        <v>316.57</v>
      </c>
      <c r="M51" s="7">
        <f t="shared" si="5"/>
        <v>316.57</v>
      </c>
      <c r="N51" s="7">
        <f t="shared" si="6"/>
        <v>80.82</v>
      </c>
      <c r="O51" s="44">
        <f t="shared" si="10"/>
        <v>0.3874785801713586</v>
      </c>
      <c r="P51" s="44">
        <f t="shared" si="11"/>
      </c>
      <c r="Q51" s="44">
        <f t="shared" si="12"/>
      </c>
    </row>
    <row r="52" spans="1:17" ht="15.75">
      <c r="A52" s="124"/>
      <c r="B52" s="126"/>
      <c r="C52" s="82"/>
      <c r="D52" s="83" t="s">
        <v>11</v>
      </c>
      <c r="E52" s="84">
        <f aca="true" t="shared" si="15" ref="E52:J52">SUM(E48:E51)</f>
        <v>734324.9199999999</v>
      </c>
      <c r="F52" s="84">
        <f t="shared" si="15"/>
        <v>4437511.2</v>
      </c>
      <c r="G52" s="84">
        <f t="shared" si="15"/>
        <v>961851.7</v>
      </c>
      <c r="H52" s="84">
        <f t="shared" si="15"/>
        <v>360337.3</v>
      </c>
      <c r="I52" s="84">
        <f t="shared" si="15"/>
        <v>836812.06</v>
      </c>
      <c r="J52" s="84">
        <f t="shared" si="15"/>
        <v>126671.90000000001</v>
      </c>
      <c r="K52" s="84">
        <f t="shared" si="3"/>
        <v>102487.14000000013</v>
      </c>
      <c r="L52" s="84">
        <f t="shared" si="4"/>
        <v>-125039.6399999999</v>
      </c>
      <c r="M52" s="84">
        <f t="shared" si="5"/>
        <v>-3600699.14</v>
      </c>
      <c r="N52" s="84">
        <f t="shared" si="6"/>
        <v>-233665.39999999997</v>
      </c>
      <c r="O52" s="44">
        <f t="shared" si="10"/>
        <v>1.1395664741978253</v>
      </c>
      <c r="P52" s="44">
        <f t="shared" si="11"/>
        <v>0.870001123873878</v>
      </c>
      <c r="Q52" s="44">
        <f t="shared" si="12"/>
        <v>0.18857688967635733</v>
      </c>
    </row>
    <row r="53" spans="1:17" ht="15.75">
      <c r="A53" s="128">
        <v>991</v>
      </c>
      <c r="B53" s="128" t="s">
        <v>74</v>
      </c>
      <c r="C53" s="57" t="s">
        <v>44</v>
      </c>
      <c r="D53" s="8" t="s">
        <v>75</v>
      </c>
      <c r="E53" s="39">
        <v>9380.95</v>
      </c>
      <c r="F53" s="5">
        <v>54298.2</v>
      </c>
      <c r="G53" s="5">
        <v>12500</v>
      </c>
      <c r="H53" s="5">
        <v>4500</v>
      </c>
      <c r="I53" s="39">
        <v>9638.970000000001</v>
      </c>
      <c r="J53" s="39">
        <v>1666.84</v>
      </c>
      <c r="K53" s="5">
        <f t="shared" si="3"/>
        <v>258.02000000000044</v>
      </c>
      <c r="L53" s="5">
        <f t="shared" si="4"/>
        <v>-2861.029999999999</v>
      </c>
      <c r="M53" s="5">
        <f t="shared" si="5"/>
        <v>-44659.229999999996</v>
      </c>
      <c r="N53" s="5">
        <f t="shared" si="6"/>
        <v>-2833.16</v>
      </c>
      <c r="O53" s="44">
        <f t="shared" si="10"/>
        <v>1.027504677031644</v>
      </c>
      <c r="P53" s="44">
        <f t="shared" si="11"/>
        <v>0.7711176000000001</v>
      </c>
      <c r="Q53" s="44">
        <f t="shared" si="12"/>
        <v>0.17751914428102591</v>
      </c>
    </row>
    <row r="54" spans="1:17" ht="15.75">
      <c r="A54" s="128"/>
      <c r="B54" s="128"/>
      <c r="C54" s="55" t="s">
        <v>76</v>
      </c>
      <c r="D54" s="6" t="s">
        <v>77</v>
      </c>
      <c r="E54" s="39">
        <v>519</v>
      </c>
      <c r="F54" s="5"/>
      <c r="G54" s="5"/>
      <c r="H54" s="5"/>
      <c r="I54" s="39">
        <v>1599.4</v>
      </c>
      <c r="J54" s="39">
        <v>1599.4</v>
      </c>
      <c r="K54" s="5">
        <f t="shared" si="3"/>
        <v>1080.4</v>
      </c>
      <c r="L54" s="5">
        <f t="shared" si="4"/>
        <v>1599.4</v>
      </c>
      <c r="M54" s="5">
        <f t="shared" si="5"/>
        <v>1599.4</v>
      </c>
      <c r="N54" s="5">
        <f t="shared" si="6"/>
        <v>1599.4</v>
      </c>
      <c r="O54" s="47">
        <f t="shared" si="10"/>
        <v>3.0816955684007707</v>
      </c>
      <c r="P54" s="47">
        <f t="shared" si="11"/>
      </c>
      <c r="Q54" s="47">
        <f t="shared" si="12"/>
      </c>
    </row>
    <row r="55" spans="1:17" ht="15.75">
      <c r="A55" s="128"/>
      <c r="B55" s="128"/>
      <c r="C55" s="78"/>
      <c r="D55" s="77" t="s">
        <v>11</v>
      </c>
      <c r="E55" s="29">
        <f aca="true" t="shared" si="16" ref="E55:J55">SUM(E53:E54)</f>
        <v>9899.95</v>
      </c>
      <c r="F55" s="29">
        <f t="shared" si="16"/>
        <v>54298.2</v>
      </c>
      <c r="G55" s="29">
        <f t="shared" si="16"/>
        <v>12500</v>
      </c>
      <c r="H55" s="29">
        <f t="shared" si="16"/>
        <v>4500</v>
      </c>
      <c r="I55" s="29">
        <f t="shared" si="16"/>
        <v>11238.37</v>
      </c>
      <c r="J55" s="29">
        <f t="shared" si="16"/>
        <v>3266.24</v>
      </c>
      <c r="K55" s="29">
        <f t="shared" si="3"/>
        <v>1338.42</v>
      </c>
      <c r="L55" s="29">
        <f t="shared" si="4"/>
        <v>-1261.6299999999992</v>
      </c>
      <c r="M55" s="29">
        <f t="shared" si="5"/>
        <v>-43059.829999999994</v>
      </c>
      <c r="N55" s="29">
        <f t="shared" si="6"/>
        <v>-1233.7600000000002</v>
      </c>
      <c r="O55" s="76">
        <f t="shared" si="10"/>
        <v>1.1351946221950615</v>
      </c>
      <c r="P55" s="76">
        <f t="shared" si="11"/>
        <v>0.8990696</v>
      </c>
      <c r="Q55" s="76">
        <f t="shared" si="12"/>
        <v>0.20697500101292496</v>
      </c>
    </row>
    <row r="56" spans="1:17" ht="15.75">
      <c r="A56" s="120" t="s">
        <v>78</v>
      </c>
      <c r="B56" s="97" t="s">
        <v>79</v>
      </c>
      <c r="C56" s="55" t="s">
        <v>80</v>
      </c>
      <c r="D56" s="6" t="s">
        <v>81</v>
      </c>
      <c r="E56" s="39">
        <v>5153.32</v>
      </c>
      <c r="F56" s="5">
        <v>7767.5</v>
      </c>
      <c r="G56" s="5">
        <v>1870.6</v>
      </c>
      <c r="H56" s="5">
        <v>1561.3999999999999</v>
      </c>
      <c r="I56" s="37">
        <v>4320.920000000001</v>
      </c>
      <c r="J56" s="37">
        <v>3463.37</v>
      </c>
      <c r="K56" s="5">
        <f t="shared" si="3"/>
        <v>-832.3999999999987</v>
      </c>
      <c r="L56" s="5">
        <f t="shared" si="4"/>
        <v>2450.320000000001</v>
      </c>
      <c r="M56" s="5">
        <f t="shared" si="5"/>
        <v>-3446.579999999999</v>
      </c>
      <c r="N56" s="5">
        <f t="shared" si="6"/>
        <v>1901.97</v>
      </c>
      <c r="O56" s="44">
        <f t="shared" si="10"/>
        <v>0.8384730620260339</v>
      </c>
      <c r="P56" s="44">
        <f t="shared" si="11"/>
        <v>2.309911258419759</v>
      </c>
      <c r="Q56" s="44">
        <f t="shared" si="12"/>
        <v>0.5562819439974253</v>
      </c>
    </row>
    <row r="57" spans="1:17" ht="15.75">
      <c r="A57" s="120"/>
      <c r="B57" s="97"/>
      <c r="C57" s="71"/>
      <c r="D57" s="77" t="s">
        <v>11</v>
      </c>
      <c r="E57" s="29">
        <f aca="true" t="shared" si="17" ref="E57:K57">E56</f>
        <v>5153.32</v>
      </c>
      <c r="F57" s="29">
        <f t="shared" si="17"/>
        <v>7767.5</v>
      </c>
      <c r="G57" s="29">
        <f t="shared" si="17"/>
        <v>1870.6</v>
      </c>
      <c r="H57" s="29">
        <f t="shared" si="17"/>
        <v>1561.3999999999999</v>
      </c>
      <c r="I57" s="29">
        <f t="shared" si="17"/>
        <v>4320.920000000001</v>
      </c>
      <c r="J57" s="29">
        <f t="shared" si="17"/>
        <v>3463.37</v>
      </c>
      <c r="K57" s="85">
        <f t="shared" si="17"/>
        <v>-832.3999999999987</v>
      </c>
      <c r="L57" s="85">
        <f t="shared" si="4"/>
        <v>2450.320000000001</v>
      </c>
      <c r="M57" s="85">
        <f t="shared" si="5"/>
        <v>-3446.579999999999</v>
      </c>
      <c r="N57" s="85">
        <f t="shared" si="6"/>
        <v>1901.97</v>
      </c>
      <c r="O57" s="76">
        <f t="shared" si="10"/>
        <v>0.8384730620260339</v>
      </c>
      <c r="P57" s="76">
        <f t="shared" si="11"/>
        <v>2.309911258419759</v>
      </c>
      <c r="Q57" s="76">
        <f t="shared" si="12"/>
        <v>0.5562819439974253</v>
      </c>
    </row>
    <row r="58" spans="1:17" ht="15.75">
      <c r="A58" s="97"/>
      <c r="B58" s="97" t="s">
        <v>82</v>
      </c>
      <c r="C58" s="55" t="s">
        <v>106</v>
      </c>
      <c r="D58" s="9" t="s">
        <v>83</v>
      </c>
      <c r="E58" s="39">
        <v>192.39000000000001</v>
      </c>
      <c r="F58" s="5">
        <v>41.2</v>
      </c>
      <c r="G58" s="5">
        <v>26.700000000000003</v>
      </c>
      <c r="H58" s="5">
        <v>8.9</v>
      </c>
      <c r="I58" s="37">
        <v>46.84</v>
      </c>
      <c r="J58" s="37">
        <v>10.61</v>
      </c>
      <c r="K58" s="5">
        <f aca="true" t="shared" si="18" ref="K58:K77">I58-E58</f>
        <v>-145.55</v>
      </c>
      <c r="L58" s="5">
        <f t="shared" si="4"/>
        <v>20.14</v>
      </c>
      <c r="M58" s="5">
        <f t="shared" si="5"/>
        <v>5.640000000000001</v>
      </c>
      <c r="N58" s="5">
        <f t="shared" si="6"/>
        <v>1.709999999999999</v>
      </c>
      <c r="O58" s="44">
        <f t="shared" si="10"/>
        <v>0.24346379749467228</v>
      </c>
      <c r="P58" s="44">
        <f t="shared" si="11"/>
        <v>1.754307116104869</v>
      </c>
      <c r="Q58" s="44">
        <f t="shared" si="12"/>
        <v>1.1368932038834951</v>
      </c>
    </row>
    <row r="59" spans="1:17" ht="15.75">
      <c r="A59" s="98"/>
      <c r="B59" s="98"/>
      <c r="C59" s="55" t="s">
        <v>107</v>
      </c>
      <c r="D59" s="6" t="s">
        <v>145</v>
      </c>
      <c r="E59" s="17">
        <v>27.84</v>
      </c>
      <c r="F59" s="17">
        <v>47.1</v>
      </c>
      <c r="G59" s="17">
        <v>47.1</v>
      </c>
      <c r="H59" s="17">
        <v>0</v>
      </c>
      <c r="I59" s="41">
        <v>-158.21</v>
      </c>
      <c r="J59" s="41">
        <v>4.73</v>
      </c>
      <c r="K59" s="17">
        <f t="shared" si="18"/>
        <v>-186.05</v>
      </c>
      <c r="L59" s="17">
        <f t="shared" si="4"/>
        <v>-205.31</v>
      </c>
      <c r="M59" s="17">
        <f t="shared" si="5"/>
        <v>-205.31</v>
      </c>
      <c r="N59" s="17">
        <f t="shared" si="6"/>
        <v>4.73</v>
      </c>
      <c r="O59" s="44">
        <f t="shared" si="10"/>
        <v>-5.682830459770115</v>
      </c>
      <c r="P59" s="44">
        <f t="shared" si="11"/>
        <v>-3.359023354564756</v>
      </c>
      <c r="Q59" s="44">
        <f t="shared" si="12"/>
        <v>-3.359023354564756</v>
      </c>
    </row>
    <row r="60" spans="1:17" ht="15.75">
      <c r="A60" s="97"/>
      <c r="B60" s="97"/>
      <c r="C60" s="55" t="s">
        <v>42</v>
      </c>
      <c r="D60" s="6" t="s">
        <v>43</v>
      </c>
      <c r="E60" s="39"/>
      <c r="F60" s="5">
        <v>6100</v>
      </c>
      <c r="G60" s="5">
        <f>H60</f>
        <v>0</v>
      </c>
      <c r="H60" s="5">
        <v>0</v>
      </c>
      <c r="I60" s="37">
        <v>0</v>
      </c>
      <c r="J60" s="37">
        <v>0</v>
      </c>
      <c r="K60" s="5">
        <f t="shared" si="18"/>
        <v>0</v>
      </c>
      <c r="L60" s="5">
        <f t="shared" si="4"/>
        <v>0</v>
      </c>
      <c r="M60" s="5">
        <f t="shared" si="5"/>
        <v>-6100</v>
      </c>
      <c r="N60" s="5">
        <f t="shared" si="6"/>
        <v>0</v>
      </c>
      <c r="O60" s="44">
        <f t="shared" si="10"/>
      </c>
      <c r="P60" s="44">
        <f t="shared" si="11"/>
      </c>
      <c r="Q60" s="44">
        <f t="shared" si="12"/>
        <v>0</v>
      </c>
    </row>
    <row r="61" spans="1:17" ht="31.5">
      <c r="A61" s="97"/>
      <c r="B61" s="97"/>
      <c r="C61" s="55" t="s">
        <v>115</v>
      </c>
      <c r="D61" s="6" t="s">
        <v>70</v>
      </c>
      <c r="E61" s="39">
        <v>2126.68</v>
      </c>
      <c r="F61" s="3">
        <v>680.5</v>
      </c>
      <c r="G61" s="3">
        <v>150</v>
      </c>
      <c r="H61" s="3">
        <v>50</v>
      </c>
      <c r="I61" s="39">
        <v>11848.11</v>
      </c>
      <c r="J61" s="39">
        <v>172.66000000000003</v>
      </c>
      <c r="K61" s="3">
        <f t="shared" si="18"/>
        <v>9721.43</v>
      </c>
      <c r="L61" s="3">
        <f t="shared" si="4"/>
        <v>11698.11</v>
      </c>
      <c r="M61" s="3">
        <f t="shared" si="5"/>
        <v>11167.61</v>
      </c>
      <c r="N61" s="3">
        <f t="shared" si="6"/>
        <v>122.66000000000003</v>
      </c>
      <c r="O61" s="44">
        <f t="shared" si="10"/>
        <v>5.571176669738748</v>
      </c>
      <c r="P61" s="44">
        <f t="shared" si="11"/>
        <v>78.98740000000001</v>
      </c>
      <c r="Q61" s="44">
        <f t="shared" si="12"/>
        <v>17.410889052167526</v>
      </c>
    </row>
    <row r="62" spans="1:17" ht="15.75">
      <c r="A62" s="97"/>
      <c r="B62" s="97"/>
      <c r="C62" s="55" t="s">
        <v>72</v>
      </c>
      <c r="D62" s="6" t="s">
        <v>73</v>
      </c>
      <c r="E62" s="38">
        <v>16698.059999999998</v>
      </c>
      <c r="F62" s="3">
        <v>86939.9</v>
      </c>
      <c r="G62" s="3">
        <v>17892.300000000003</v>
      </c>
      <c r="H62" s="3">
        <v>9125.8</v>
      </c>
      <c r="I62" s="38">
        <v>13175.749999999998</v>
      </c>
      <c r="J62" s="38">
        <v>322.2999999999998</v>
      </c>
      <c r="K62" s="3">
        <f t="shared" si="18"/>
        <v>-3522.3099999999995</v>
      </c>
      <c r="L62" s="3">
        <f t="shared" si="4"/>
        <v>-4716.550000000005</v>
      </c>
      <c r="M62" s="3">
        <f t="shared" si="5"/>
        <v>-73764.15</v>
      </c>
      <c r="N62" s="3">
        <f t="shared" si="6"/>
        <v>-8803.5</v>
      </c>
      <c r="O62" s="44">
        <f t="shared" si="10"/>
        <v>0.7890587289780968</v>
      </c>
      <c r="P62" s="44">
        <f t="shared" si="11"/>
        <v>0.7363921910542521</v>
      </c>
      <c r="Q62" s="44">
        <f t="shared" si="12"/>
        <v>0.15155009380042994</v>
      </c>
    </row>
    <row r="63" spans="1:17" ht="15.75">
      <c r="A63" s="97"/>
      <c r="B63" s="97"/>
      <c r="C63" s="55" t="s">
        <v>84</v>
      </c>
      <c r="D63" s="6" t="s">
        <v>85</v>
      </c>
      <c r="E63" s="38">
        <v>91.89</v>
      </c>
      <c r="F63" s="3"/>
      <c r="G63" s="3"/>
      <c r="H63" s="3"/>
      <c r="I63" s="38">
        <v>-6115.41</v>
      </c>
      <c r="J63" s="38">
        <v>-1146.8300000000002</v>
      </c>
      <c r="K63" s="3">
        <f t="shared" si="18"/>
        <v>-6207.3</v>
      </c>
      <c r="L63" s="3">
        <f t="shared" si="4"/>
        <v>-6115.41</v>
      </c>
      <c r="M63" s="3">
        <f t="shared" si="5"/>
        <v>-6115.41</v>
      </c>
      <c r="N63" s="3">
        <f t="shared" si="6"/>
        <v>-1146.8300000000002</v>
      </c>
      <c r="O63" s="44">
        <f aca="true" t="shared" si="19" ref="O63:O77">_xlfn.IFERROR(I63/E63,"")</f>
        <v>-66.55142017629774</v>
      </c>
      <c r="P63" s="44">
        <f aca="true" t="shared" si="20" ref="P63:P77">_xlfn.IFERROR(I63/G63,"")</f>
      </c>
      <c r="Q63" s="44">
        <f aca="true" t="shared" si="21" ref="Q63:Q77">_xlfn.IFERROR(I63/F63,"")</f>
      </c>
    </row>
    <row r="64" spans="1:17" ht="15.75">
      <c r="A64" s="97"/>
      <c r="B64" s="97"/>
      <c r="C64" s="55" t="s">
        <v>46</v>
      </c>
      <c r="D64" s="6" t="s">
        <v>60</v>
      </c>
      <c r="E64" s="38">
        <v>6667.970000000001</v>
      </c>
      <c r="F64" s="3">
        <v>16333.1</v>
      </c>
      <c r="G64" s="3">
        <v>1000</v>
      </c>
      <c r="H64" s="3">
        <v>350</v>
      </c>
      <c r="I64" s="38">
        <v>11560.130000000003</v>
      </c>
      <c r="J64" s="38">
        <v>2639.4600000000005</v>
      </c>
      <c r="K64" s="3">
        <f t="shared" si="18"/>
        <v>4892.160000000002</v>
      </c>
      <c r="L64" s="3">
        <f aca="true" t="shared" si="22" ref="L64:L77">I64-G64</f>
        <v>10560.130000000003</v>
      </c>
      <c r="M64" s="3">
        <f aca="true" t="shared" si="23" ref="M64:M77">I64-F64</f>
        <v>-4772.9699999999975</v>
      </c>
      <c r="N64" s="3">
        <f aca="true" t="shared" si="24" ref="N64:N77">J64-H64</f>
        <v>2289.4600000000005</v>
      </c>
      <c r="O64" s="44">
        <f t="shared" si="19"/>
        <v>1.7336805654494547</v>
      </c>
      <c r="P64" s="44">
        <f t="shared" si="20"/>
        <v>11.560130000000003</v>
      </c>
      <c r="Q64" s="44">
        <f t="shared" si="21"/>
        <v>0.7077731722698081</v>
      </c>
    </row>
    <row r="65" spans="1:17" ht="15.75">
      <c r="A65" s="99"/>
      <c r="B65" s="99"/>
      <c r="C65" s="55" t="s">
        <v>149</v>
      </c>
      <c r="D65" s="6" t="s">
        <v>148</v>
      </c>
      <c r="E65" s="38">
        <v>940</v>
      </c>
      <c r="F65" s="3">
        <v>0</v>
      </c>
      <c r="G65" s="3">
        <f>H65</f>
        <v>0</v>
      </c>
      <c r="H65" s="3">
        <v>0</v>
      </c>
      <c r="I65" s="38">
        <v>83.58</v>
      </c>
      <c r="J65" s="38">
        <v>0</v>
      </c>
      <c r="K65" s="3">
        <f t="shared" si="18"/>
        <v>-856.42</v>
      </c>
      <c r="L65" s="3">
        <f t="shared" si="22"/>
        <v>83.58</v>
      </c>
      <c r="M65" s="3">
        <f t="shared" si="23"/>
        <v>83.58</v>
      </c>
      <c r="N65" s="3">
        <f t="shared" si="24"/>
        <v>0</v>
      </c>
      <c r="O65" s="44">
        <f t="shared" si="19"/>
        <v>0.08891489361702128</v>
      </c>
      <c r="P65" s="44">
        <f t="shared" si="20"/>
      </c>
      <c r="Q65" s="44">
        <f t="shared" si="21"/>
      </c>
    </row>
    <row r="66" spans="1:17" ht="15.75">
      <c r="A66" s="97"/>
      <c r="B66" s="97"/>
      <c r="C66" s="71"/>
      <c r="D66" s="77" t="s">
        <v>86</v>
      </c>
      <c r="E66" s="29">
        <f>SUM(E58:E65)</f>
        <v>26744.829999999998</v>
      </c>
      <c r="F66" s="29">
        <f>SUM(F58:F65)</f>
        <v>110141.8</v>
      </c>
      <c r="G66" s="29">
        <f>SUM(G58:G65)</f>
        <v>19116.100000000002</v>
      </c>
      <c r="H66" s="29">
        <f>SUM(H58:H65)</f>
        <v>9534.699999999999</v>
      </c>
      <c r="I66" s="29">
        <f>SUM(I58:I65)</f>
        <v>30440.79</v>
      </c>
      <c r="J66" s="29">
        <f>SUM(J58:J65)</f>
        <v>2002.9300000000003</v>
      </c>
      <c r="K66" s="85">
        <f t="shared" si="18"/>
        <v>3695.9600000000028</v>
      </c>
      <c r="L66" s="85">
        <f t="shared" si="22"/>
        <v>11324.689999999999</v>
      </c>
      <c r="M66" s="85">
        <f t="shared" si="23"/>
        <v>-79701.01000000001</v>
      </c>
      <c r="N66" s="85">
        <f t="shared" si="24"/>
        <v>-7531.769999999999</v>
      </c>
      <c r="O66" s="76">
        <f t="shared" si="19"/>
        <v>1.1381934377597467</v>
      </c>
      <c r="P66" s="76">
        <f t="shared" si="20"/>
        <v>1.5924163401530647</v>
      </c>
      <c r="Q66" s="76">
        <f t="shared" si="21"/>
        <v>0.27637817794878966</v>
      </c>
    </row>
    <row r="67" spans="1:17" ht="25.5" customHeight="1">
      <c r="A67" s="100" t="s">
        <v>87</v>
      </c>
      <c r="B67" s="100"/>
      <c r="C67" s="101"/>
      <c r="D67" s="100"/>
      <c r="E67" s="86">
        <f aca="true" t="shared" si="25" ref="E67:J67">E5+E22</f>
        <v>3910856.1899999995</v>
      </c>
      <c r="F67" s="86">
        <f t="shared" si="25"/>
        <v>26089513.020000003</v>
      </c>
      <c r="G67" s="86">
        <f t="shared" si="25"/>
        <v>4997123.699999999</v>
      </c>
      <c r="H67" s="86">
        <f t="shared" si="25"/>
        <v>3397068.5999999996</v>
      </c>
      <c r="I67" s="86">
        <f t="shared" si="25"/>
        <v>3004043.4299999997</v>
      </c>
      <c r="J67" s="86">
        <f t="shared" si="25"/>
        <v>1530897.3199999998</v>
      </c>
      <c r="K67" s="87">
        <f t="shared" si="18"/>
        <v>-906812.7599999998</v>
      </c>
      <c r="L67" s="87">
        <f t="shared" si="22"/>
        <v>-1993080.2699999996</v>
      </c>
      <c r="M67" s="87">
        <f t="shared" si="23"/>
        <v>-23085469.590000004</v>
      </c>
      <c r="N67" s="87">
        <f t="shared" si="24"/>
        <v>-1866171.2799999998</v>
      </c>
      <c r="O67" s="88">
        <f t="shared" si="19"/>
        <v>0.7681293517468869</v>
      </c>
      <c r="P67" s="88">
        <f t="shared" si="20"/>
        <v>0.6011545061412028</v>
      </c>
      <c r="Q67" s="88">
        <f t="shared" si="21"/>
        <v>0.1151437141696407</v>
      </c>
    </row>
    <row r="68" spans="1:17" ht="33" customHeight="1">
      <c r="A68" s="102"/>
      <c r="B68" s="104"/>
      <c r="C68" s="55"/>
      <c r="D68" s="75" t="s">
        <v>88</v>
      </c>
      <c r="E68" s="89">
        <f aca="true" t="shared" si="26" ref="E68:J68">SUM(E69:E76)</f>
        <v>2576418.79</v>
      </c>
      <c r="F68" s="67">
        <f t="shared" si="26"/>
        <v>23927644.140000004</v>
      </c>
      <c r="G68" s="67">
        <f t="shared" si="26"/>
        <v>3939786.3600000003</v>
      </c>
      <c r="H68" s="67">
        <f t="shared" si="26"/>
        <v>1144307.84</v>
      </c>
      <c r="I68" s="67">
        <f t="shared" si="26"/>
        <v>3148028.6300000004</v>
      </c>
      <c r="J68" s="67">
        <f t="shared" si="26"/>
        <v>1021124.9899999999</v>
      </c>
      <c r="K68" s="90">
        <f t="shared" si="18"/>
        <v>571609.8400000003</v>
      </c>
      <c r="L68" s="90">
        <f t="shared" si="22"/>
        <v>-791757.73</v>
      </c>
      <c r="M68" s="90">
        <f t="shared" si="23"/>
        <v>-20779615.510000005</v>
      </c>
      <c r="N68" s="90">
        <f t="shared" si="24"/>
        <v>-123182.85000000021</v>
      </c>
      <c r="O68" s="91">
        <f t="shared" si="19"/>
        <v>1.2218621608484699</v>
      </c>
      <c r="P68" s="91">
        <f t="shared" si="20"/>
        <v>0.7990353644454975</v>
      </c>
      <c r="Q68" s="91">
        <f t="shared" si="21"/>
        <v>0.13156450386761728</v>
      </c>
    </row>
    <row r="69" spans="1:17" ht="31.5">
      <c r="A69" s="102"/>
      <c r="B69" s="104"/>
      <c r="C69" s="55" t="s">
        <v>125</v>
      </c>
      <c r="D69" s="18" t="s">
        <v>89</v>
      </c>
      <c r="E69" s="38">
        <v>79902.6</v>
      </c>
      <c r="F69" s="18">
        <v>384548</v>
      </c>
      <c r="G69" s="3">
        <f>289880</f>
        <v>289880</v>
      </c>
      <c r="H69" s="3">
        <f>31556</f>
        <v>31556</v>
      </c>
      <c r="I69" s="16">
        <v>258324</v>
      </c>
      <c r="J69" s="16">
        <v>0</v>
      </c>
      <c r="K69" s="3">
        <f aca="true" t="shared" si="27" ref="K69:K74">I69-E69</f>
        <v>178421.4</v>
      </c>
      <c r="L69" s="3">
        <f>I69-G69</f>
        <v>-31556</v>
      </c>
      <c r="M69" s="3">
        <f>I69-F69</f>
        <v>-126224</v>
      </c>
      <c r="N69" s="3">
        <f>J69-H69</f>
        <v>-31556</v>
      </c>
      <c r="O69" s="45">
        <f t="shared" si="19"/>
        <v>3.232986160650592</v>
      </c>
      <c r="P69" s="45">
        <f t="shared" si="20"/>
        <v>0.8911411618600801</v>
      </c>
      <c r="Q69" s="45">
        <f t="shared" si="21"/>
        <v>0.6717600923681829</v>
      </c>
    </row>
    <row r="70" spans="1:17" ht="31.5">
      <c r="A70" s="102"/>
      <c r="B70" s="104"/>
      <c r="C70" s="55" t="s">
        <v>126</v>
      </c>
      <c r="D70" s="19" t="s">
        <v>90</v>
      </c>
      <c r="E70" s="38">
        <v>20853</v>
      </c>
      <c r="F70" s="18">
        <v>6299218.66</v>
      </c>
      <c r="G70" s="3">
        <v>158020.85</v>
      </c>
      <c r="H70" s="38">
        <v>44531.689999999995</v>
      </c>
      <c r="I70" s="16">
        <v>158020.85</v>
      </c>
      <c r="J70" s="16">
        <v>44531.689999999995</v>
      </c>
      <c r="K70" s="3">
        <f t="shared" si="27"/>
        <v>137167.85</v>
      </c>
      <c r="L70" s="3">
        <f>I70-G70</f>
        <v>0</v>
      </c>
      <c r="M70" s="3">
        <f>I70-F70</f>
        <v>-6141197.8100000005</v>
      </c>
      <c r="N70" s="3">
        <f>J70-H70</f>
        <v>0</v>
      </c>
      <c r="O70" s="45">
        <f t="shared" si="19"/>
        <v>7.577847312137343</v>
      </c>
      <c r="P70" s="45">
        <f t="shared" si="20"/>
        <v>1</v>
      </c>
      <c r="Q70" s="45">
        <f t="shared" si="21"/>
        <v>0.025085785798075473</v>
      </c>
    </row>
    <row r="71" spans="1:17" ht="31.5">
      <c r="A71" s="102"/>
      <c r="B71" s="104"/>
      <c r="C71" s="55" t="s">
        <v>127</v>
      </c>
      <c r="D71" s="19" t="s">
        <v>91</v>
      </c>
      <c r="E71" s="38">
        <v>2016966.28</v>
      </c>
      <c r="F71" s="18">
        <v>11742215.65</v>
      </c>
      <c r="G71" s="3">
        <v>2416061.04</v>
      </c>
      <c r="H71" s="38">
        <v>900478.32</v>
      </c>
      <c r="I71" s="16">
        <v>2123730</v>
      </c>
      <c r="J71" s="16">
        <v>900478.32</v>
      </c>
      <c r="K71" s="3">
        <f t="shared" si="27"/>
        <v>106763.71999999997</v>
      </c>
      <c r="L71" s="3">
        <f>I71-G71</f>
        <v>-292331.04000000004</v>
      </c>
      <c r="M71" s="3">
        <f t="shared" si="23"/>
        <v>-9618485.65</v>
      </c>
      <c r="N71" s="3">
        <f>J71-H71</f>
        <v>0</v>
      </c>
      <c r="O71" s="45">
        <f t="shared" si="19"/>
        <v>1.0529328234480946</v>
      </c>
      <c r="P71" s="45">
        <f t="shared" si="20"/>
        <v>0.8790051099040114</v>
      </c>
      <c r="Q71" s="45">
        <f t="shared" si="21"/>
        <v>0.1808627999435524</v>
      </c>
    </row>
    <row r="72" spans="1:17" ht="15.75">
      <c r="A72" s="102"/>
      <c r="B72" s="104"/>
      <c r="C72" s="55" t="s">
        <v>128</v>
      </c>
      <c r="D72" s="8" t="s">
        <v>92</v>
      </c>
      <c r="E72" s="38">
        <v>480573.41</v>
      </c>
      <c r="F72" s="18">
        <v>5493654.96</v>
      </c>
      <c r="G72" s="3">
        <v>1067817.6</v>
      </c>
      <c r="H72" s="3">
        <v>159734.96</v>
      </c>
      <c r="I72" s="38">
        <v>1067817.6</v>
      </c>
      <c r="J72" s="38">
        <v>31893.9</v>
      </c>
      <c r="K72" s="3">
        <f t="shared" si="27"/>
        <v>587244.1900000002</v>
      </c>
      <c r="L72" s="3">
        <f>I72-G72</f>
        <v>0</v>
      </c>
      <c r="M72" s="3">
        <f t="shared" si="23"/>
        <v>-4425837.359999999</v>
      </c>
      <c r="N72" s="3">
        <f t="shared" si="24"/>
        <v>-127841.06</v>
      </c>
      <c r="O72" s="45">
        <f t="shared" si="19"/>
        <v>2.221965630599496</v>
      </c>
      <c r="P72" s="45">
        <f t="shared" si="20"/>
        <v>1</v>
      </c>
      <c r="Q72" s="45">
        <f t="shared" si="21"/>
        <v>0.19437289159492466</v>
      </c>
    </row>
    <row r="73" spans="1:17" ht="47.25">
      <c r="A73" s="103"/>
      <c r="B73" s="105"/>
      <c r="C73" s="55" t="s">
        <v>124</v>
      </c>
      <c r="D73" s="8" t="s">
        <v>123</v>
      </c>
      <c r="E73" s="38">
        <v>4.06</v>
      </c>
      <c r="F73" s="3"/>
      <c r="G73" s="3">
        <f>H73</f>
        <v>0</v>
      </c>
      <c r="H73" s="3"/>
      <c r="I73" s="38">
        <v>387.89</v>
      </c>
      <c r="J73" s="38">
        <v>0</v>
      </c>
      <c r="K73" s="3">
        <f t="shared" si="27"/>
        <v>383.83</v>
      </c>
      <c r="L73" s="3">
        <f>I73-G73</f>
        <v>387.89</v>
      </c>
      <c r="M73" s="3">
        <f t="shared" si="23"/>
        <v>387.89</v>
      </c>
      <c r="N73" s="3">
        <f t="shared" si="24"/>
        <v>0</v>
      </c>
      <c r="O73" s="46">
        <f t="shared" si="19"/>
        <v>95.53940886699507</v>
      </c>
      <c r="P73" s="46">
        <f t="shared" si="20"/>
      </c>
      <c r="Q73" s="46">
        <f t="shared" si="21"/>
      </c>
    </row>
    <row r="74" spans="1:17" ht="31.5">
      <c r="A74" s="102"/>
      <c r="B74" s="104"/>
      <c r="C74" s="55" t="s">
        <v>93</v>
      </c>
      <c r="D74" s="32" t="s">
        <v>94</v>
      </c>
      <c r="E74" s="38">
        <v>692.71</v>
      </c>
      <c r="F74" s="3"/>
      <c r="G74" s="3"/>
      <c r="H74" s="3"/>
      <c r="I74" s="38">
        <v>0</v>
      </c>
      <c r="J74" s="38">
        <v>0</v>
      </c>
      <c r="K74" s="3">
        <f t="shared" si="27"/>
        <v>-692.71</v>
      </c>
      <c r="L74" s="3">
        <f>I74-G74</f>
        <v>0</v>
      </c>
      <c r="M74" s="3">
        <f>I74-F74</f>
        <v>0</v>
      </c>
      <c r="N74" s="3">
        <f t="shared" si="24"/>
        <v>0</v>
      </c>
      <c r="O74" s="45">
        <f t="shared" si="19"/>
        <v>0</v>
      </c>
      <c r="P74" s="45">
        <f t="shared" si="20"/>
      </c>
      <c r="Q74" s="45">
        <f t="shared" si="21"/>
      </c>
    </row>
    <row r="75" spans="1:17" ht="47.25">
      <c r="A75" s="102"/>
      <c r="B75" s="104"/>
      <c r="C75" s="55" t="s">
        <v>95</v>
      </c>
      <c r="D75" s="6" t="s">
        <v>96</v>
      </c>
      <c r="E75" s="38">
        <v>325488.5</v>
      </c>
      <c r="F75" s="5">
        <v>8006.87</v>
      </c>
      <c r="G75" s="5">
        <v>8006.87</v>
      </c>
      <c r="H75" s="5">
        <v>8006.87</v>
      </c>
      <c r="I75" s="38">
        <v>162527.7</v>
      </c>
      <c r="J75" s="38">
        <v>0</v>
      </c>
      <c r="K75" s="3">
        <f t="shared" si="18"/>
        <v>-162960.8</v>
      </c>
      <c r="L75" s="3">
        <f t="shared" si="22"/>
        <v>154520.83000000002</v>
      </c>
      <c r="M75" s="3">
        <f t="shared" si="23"/>
        <v>154520.83000000002</v>
      </c>
      <c r="N75" s="3">
        <f t="shared" si="24"/>
        <v>-8006.87</v>
      </c>
      <c r="O75" s="45">
        <f t="shared" si="19"/>
        <v>0.49933469231631844</v>
      </c>
      <c r="P75" s="45">
        <f t="shared" si="20"/>
        <v>20.29853113638663</v>
      </c>
      <c r="Q75" s="45">
        <f t="shared" si="21"/>
        <v>20.29853113638663</v>
      </c>
    </row>
    <row r="76" spans="1:17" ht="15.75">
      <c r="A76" s="102"/>
      <c r="B76" s="104"/>
      <c r="C76" s="55" t="s">
        <v>97</v>
      </c>
      <c r="D76" s="6" t="s">
        <v>98</v>
      </c>
      <c r="E76" s="38">
        <v>-348061.77</v>
      </c>
      <c r="F76" s="3"/>
      <c r="G76" s="3"/>
      <c r="H76" s="3"/>
      <c r="I76" s="38">
        <v>-622779.41</v>
      </c>
      <c r="J76" s="38">
        <v>44221.08</v>
      </c>
      <c r="K76" s="3">
        <f t="shared" si="18"/>
        <v>-274717.64</v>
      </c>
      <c r="L76" s="3">
        <f t="shared" si="22"/>
        <v>-622779.41</v>
      </c>
      <c r="M76" s="3">
        <f t="shared" si="23"/>
        <v>-622779.41</v>
      </c>
      <c r="N76" s="3">
        <f t="shared" si="24"/>
        <v>44221.08</v>
      </c>
      <c r="O76" s="45">
        <f t="shared" si="19"/>
        <v>1.7892784088295592</v>
      </c>
      <c r="P76" s="45">
        <f t="shared" si="20"/>
      </c>
      <c r="Q76" s="45">
        <f t="shared" si="21"/>
      </c>
    </row>
    <row r="77" spans="1:17" ht="29.25" customHeight="1">
      <c r="A77" s="95" t="s">
        <v>99</v>
      </c>
      <c r="B77" s="95"/>
      <c r="C77" s="96"/>
      <c r="D77" s="95"/>
      <c r="E77" s="92">
        <f aca="true" t="shared" si="28" ref="E77:J77">E67+E68</f>
        <v>6487274.9799999995</v>
      </c>
      <c r="F77" s="92">
        <f t="shared" si="28"/>
        <v>50017157.16000001</v>
      </c>
      <c r="G77" s="92">
        <f t="shared" si="28"/>
        <v>8936910.059999999</v>
      </c>
      <c r="H77" s="92">
        <f t="shared" si="28"/>
        <v>4541376.4399999995</v>
      </c>
      <c r="I77" s="92">
        <f t="shared" si="28"/>
        <v>6152072.0600000005</v>
      </c>
      <c r="J77" s="92">
        <f t="shared" si="28"/>
        <v>2552022.3099999996</v>
      </c>
      <c r="K77" s="48">
        <f t="shared" si="18"/>
        <v>-335202.919999999</v>
      </c>
      <c r="L77" s="48">
        <f t="shared" si="22"/>
        <v>-2784837.999999998</v>
      </c>
      <c r="M77" s="48">
        <f t="shared" si="23"/>
        <v>-43865085.10000001</v>
      </c>
      <c r="N77" s="48">
        <f t="shared" si="24"/>
        <v>-1989354.13</v>
      </c>
      <c r="O77" s="88">
        <f t="shared" si="19"/>
        <v>0.94832916424332</v>
      </c>
      <c r="P77" s="88">
        <f t="shared" si="20"/>
        <v>0.688389165684409</v>
      </c>
      <c r="Q77" s="88">
        <f t="shared" si="21"/>
        <v>0.12299923484895636</v>
      </c>
    </row>
    <row r="78" spans="1:17" ht="15.75">
      <c r="A78" s="20" t="s">
        <v>100</v>
      </c>
      <c r="B78" s="21"/>
      <c r="C78" s="62"/>
      <c r="D78" s="22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5"/>
      <c r="Q78" s="24"/>
    </row>
    <row r="79" ht="12.75">
      <c r="E79" s="94"/>
    </row>
  </sheetData>
  <sheetProtection/>
  <autoFilter ref="A4:Q79"/>
  <mergeCells count="36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56:A57"/>
    <mergeCell ref="B56:B57"/>
    <mergeCell ref="A30:A37"/>
    <mergeCell ref="B30:B37"/>
    <mergeCell ref="A38:A45"/>
    <mergeCell ref="B38:B45"/>
    <mergeCell ref="A46:A47"/>
    <mergeCell ref="B46:B47"/>
    <mergeCell ref="A48:A52"/>
    <mergeCell ref="B48:B52"/>
    <mergeCell ref="A53:A55"/>
    <mergeCell ref="B53:B55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77:D77"/>
    <mergeCell ref="A58:A66"/>
    <mergeCell ref="B58:B66"/>
    <mergeCell ref="A67:D67"/>
    <mergeCell ref="A68:A76"/>
    <mergeCell ref="B68:B76"/>
  </mergeCells>
  <printOptions/>
  <pageMargins left="0.17" right="0.15748031496062992" top="0.53" bottom="0.19" header="0.31496062992125984" footer="0.31496062992125984"/>
  <pageSetup fitToHeight="0" fitToWidth="1" horizontalDpi="600" verticalDpi="600" orientation="landscape" paperSize="9" scale="59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2023-03-13T04:25:52Z</cp:lastPrinted>
  <dcterms:created xsi:type="dcterms:W3CDTF">2015-02-26T11:08:47Z</dcterms:created>
  <dcterms:modified xsi:type="dcterms:W3CDTF">2023-03-13T04:30:11Z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