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на 27.03.2023" sheetId="1" r:id="rId1"/>
  </sheets>
  <definedNames>
    <definedName name="_xlfn.IFERROR" hidden="1">#NAME?</definedName>
    <definedName name="_xlnm._FilterDatabase" localSheetId="0" hidden="1">'на 27.03.2023'!$A$4:$Q$82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27.03.2023'!$3:$4</definedName>
    <definedName name="о">#REF!</definedName>
    <definedName name="_xlnm.Print_Area" localSheetId="0">'на 27.03.2023'!$A$1:$Q$81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<sst xmlns="http://schemas.openxmlformats.org/spreadsheetml/2006/main" count="191" uniqueCount="160">
  <si>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</si>
  <si>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</si>
  <si>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</si>
  <si>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</si>
  <si>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</si>
  <si>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</si>
  <si>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</si>
  <si>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</si>
  <si>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</si>
  <si>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</si>
  <si>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</si>
  <si>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</si>
  <si>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</si>
  <si>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</si>
  <si>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</si>
  <si>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</si>
  <si>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</si>
  <si>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</si>
  <si>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</si>
  <si>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</si>
  <si>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</si>
  <si>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</si>
  <si>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</si>
  <si>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</si>
  <si>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</si>
  <si>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</si>
  <si>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</si>
  <si>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</si>
  <si>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</si>
  <si>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</si>
  <si>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</si>
  <si>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</si>
  <si>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</si>
  <si>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</si>
  <si>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</si>
  <si>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</si>
  <si>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</si>
  <si>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</si>
  <si>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</si>
  <si>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</si>
  <si>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</si>
  <si>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</si>
  <si>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</si>
  <si>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</si>
  <si>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</si>
  <si>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</si>
  <si>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</si>
  <si>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</si>
  <si>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</si>
  <si>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</si>
  <si>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</si>
  <si>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</si>
  <si>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</si>
  <si>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</si>
  <si>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</si>
  <si>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</si>
  <si>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</si>
  <si>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</si>
  <si>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</si>
  <si>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</si>
  <si>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</si>
  <si>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</si>
  <si>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</si>
  <si>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</si>
  <si>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</si>
  <si>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</si>
  <si>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</si>
  <si>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</si>
  <si>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</si>
  <si>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</si>
  <si>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</si>
  <si>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</si>
  <si>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</si>
  <si>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</si>
  <si>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</si>
  <si>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</si>
  <si>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</si>
  <si>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</si>
  <si>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</si>
  <si>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</si>
  <si>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</si>
  <si>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</si>
  <si>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</si>
  <si>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</si>
  <si>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</si>
  <si>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</si>
  <si>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</si>
  <si>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</si>
  <si>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</si>
  <si>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</si>
  <si>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</si>
  <si>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</si>
  <si>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</si>
  <si>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</si>
  <si>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</si>
  <si>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</si>
  <si>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</si>
  <si>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</si>
  <si>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</si>
  <si>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</si>
  <si>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</si>
  <si>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</si>
  <si>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</si>
  <si>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</si>
  <si>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</si>
  <si>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</si>
  <si>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</si>
  <si>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</si>
  <si>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</si>
  <si>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</si>
  <si>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</si>
  <si>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</si>
  <si>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</si>
  <si>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</si>
  <si>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</si>
  <si>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</si>
  <si>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</si>
  <si>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</si>
  <si>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</si>
  <si>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</si>
  <si>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</si>
  <si>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</si>
  <si>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</si>
  <si>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1 11 05410 04 1000 120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</si>
  <si>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</si>
  <si>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</si>
  <si>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</si>
  <si>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</si>
  <si>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</si>
  <si>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</si>
  <si>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1 11 05024 04 1020 120</t>
  </si>
  <si>
    <t>1 11 05012 04 1020 120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</si>
  <si>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</si>
  <si>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</si>
  <si>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</si>
  <si>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</si>
  <si>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</si>
  <si>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</si>
  <si>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</si>
  <si>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</si>
  <si>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</si>
  <si>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</si>
  <si>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</si>
  <si>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</si>
  <si>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</si>
  <si>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</si>
  <si>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</si>
  <si>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</si>
  <si>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</si>
  <si>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</si>
  <si>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</si>
  <si>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</si>
  <si>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</si>
  <si>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</si>
  <si>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</si>
  <si>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январь-март</t>
  </si>
  <si>
    <t>март</t>
  </si>
  <si>
    <t>факта за март от плана марта</t>
  </si>
  <si>
    <t>Факт с нач. 2022 года      (по 24.03.22 вкл.)</t>
  </si>
  <si>
    <t>с нач. года на 27.03.2023 (по 24.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</si>
</sst>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49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45"/>
      <name val="Times New Roman"/>
      <family val="1"/>
    </font>
    <font>
      <b/>
      <i/>
      <sz val="8"/>
      <color indexed="45"/>
      <name val="Times New Roman"/>
      <family val="1"/>
    </font>
    <font>
      <b/>
      <sz val="8"/>
      <color indexed="45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37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6" fontId="4" fillId="0" borderId="13" xfId="0" applyNumberFormat="1" applyFont="1" applyFill="1" applyBorder="1" applyAlignment="1">
      <alignment horizontal="left" vertical="center" wrapText="1"/>
    </xf>
    <xf numFmtId="166" fontId="4" fillId="0" borderId="14" xfId="0" applyNumberFormat="1" applyFont="1" applyFill="1" applyBorder="1" applyAlignment="1">
      <alignment horizontal="left" vertical="center" wrapText="1"/>
    </xf>
    <xf numFmtId="166" fontId="4" fillId="0" borderId="15" xfId="0" applyNumberFormat="1" applyFont="1" applyFill="1" applyBorder="1" applyAlignment="1">
      <alignment horizontal="left" vertical="center" wrapText="1"/>
    </xf>
    <xf numFmtId="166" fontId="4" fillId="0" borderId="11" xfId="0" applyNumberFormat="1" applyFont="1" applyFill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9" fontId="4" fillId="0" borderId="11" xfId="137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13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8" xfId="131"/>
    <cellStyle name="Обычный 9" xfId="132"/>
    <cellStyle name="Плохой" xfId="133"/>
    <cellStyle name="Пояснение" xfId="134"/>
    <cellStyle name="Примечание" xfId="135"/>
    <cellStyle name="Percent" xfId="136"/>
    <cellStyle name="Процентный 2" xfId="137"/>
    <cellStyle name="Процентный 2 2" xfId="138"/>
    <cellStyle name="Связанная ячейка" xfId="139"/>
    <cellStyle name="Текст предупреждения" xfId="140"/>
    <cellStyle name="Comma" xfId="141"/>
    <cellStyle name="Comma [0]" xfId="142"/>
    <cellStyle name="Финансовый 2" xfId="143"/>
    <cellStyle name="Финансовый 3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tabSelected="1" zoomScale="89" zoomScaleNormal="89" zoomScalePageLayoutView="0" workbookViewId="0" topLeftCell="A1">
      <pane xSplit="4" ySplit="4" topLeftCell="E5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85" sqref="K85"/>
    </sheetView>
  </sheetViews>
  <sheetFormatPr defaultColWidth="9.00390625" defaultRowHeight="12.75"/>
  <cols>
    <col min="1" max="2" width="9.125" style="70" customWidth="1"/>
    <col min="3" max="3" width="19.375" style="97" hidden="1" customWidth="1"/>
    <col min="4" max="4" width="55.25390625" style="70" customWidth="1"/>
    <col min="5" max="5" width="14.625" style="24" customWidth="1"/>
    <col min="6" max="6" width="15.625" style="70" customWidth="1"/>
    <col min="7" max="8" width="13.00390625" style="70" customWidth="1"/>
    <col min="9" max="9" width="16.25390625" style="70" customWidth="1"/>
    <col min="10" max="10" width="13.875" style="70" customWidth="1"/>
    <col min="11" max="11" width="15.125" style="70" customWidth="1"/>
    <col min="12" max="12" width="14.375" style="70" customWidth="1"/>
    <col min="13" max="13" width="15.625" style="70" customWidth="1"/>
    <col min="14" max="14" width="13.75390625" style="70" customWidth="1"/>
    <col min="15" max="15" width="10.875" style="70" customWidth="1"/>
    <col min="16" max="16" width="10.125" style="70" customWidth="1"/>
    <col min="17" max="17" width="9.25390625" style="70" customWidth="1"/>
    <col min="18" max="19" width="9.125" style="70" customWidth="1"/>
    <col min="20" max="20" width="15.75390625" style="70" customWidth="1"/>
    <col min="21" max="16384" width="9.125" style="70" customWidth="1"/>
  </cols>
  <sheetData>
    <row r="1" spans="1:17" ht="20.25">
      <c r="A1" s="117" t="s">
        <v>138</v>
      </c>
      <c r="B1" s="117"/>
      <c r="C1" s="118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20.25" customHeight="1">
      <c r="A2" s="30"/>
      <c r="B2" s="31"/>
      <c r="C2" s="84"/>
      <c r="D2" s="28"/>
      <c r="E2" s="27"/>
      <c r="F2" s="28"/>
      <c r="G2" s="28"/>
      <c r="H2" s="33"/>
      <c r="I2" s="33"/>
      <c r="J2" s="33"/>
      <c r="K2" s="28"/>
      <c r="L2" s="28"/>
      <c r="M2" s="28"/>
      <c r="N2" s="28"/>
      <c r="O2" s="28"/>
      <c r="P2" s="26"/>
      <c r="Q2" s="26" t="s">
        <v>0</v>
      </c>
    </row>
    <row r="3" spans="1:17" ht="20.25" customHeight="1">
      <c r="A3" s="119" t="s">
        <v>1</v>
      </c>
      <c r="B3" s="115" t="s">
        <v>2</v>
      </c>
      <c r="C3" s="120" t="s">
        <v>3</v>
      </c>
      <c r="D3" s="122" t="s">
        <v>4</v>
      </c>
      <c r="E3" s="124" t="s">
        <v>158</v>
      </c>
      <c r="F3" s="126" t="s">
        <v>137</v>
      </c>
      <c r="G3" s="127"/>
      <c r="H3" s="128"/>
      <c r="I3" s="126" t="s">
        <v>139</v>
      </c>
      <c r="J3" s="128"/>
      <c r="K3" s="126" t="s">
        <v>5</v>
      </c>
      <c r="L3" s="127"/>
      <c r="M3" s="127"/>
      <c r="N3" s="128"/>
      <c r="O3" s="130" t="s">
        <v>154</v>
      </c>
      <c r="P3" s="129" t="s">
        <v>152</v>
      </c>
      <c r="Q3" s="130" t="s">
        <v>153</v>
      </c>
    </row>
    <row r="4" spans="1:17" ht="63">
      <c r="A4" s="119"/>
      <c r="B4" s="115"/>
      <c r="C4" s="121"/>
      <c r="D4" s="123"/>
      <c r="E4" s="125"/>
      <c r="F4" s="1" t="s">
        <v>134</v>
      </c>
      <c r="G4" s="1" t="s">
        <v>155</v>
      </c>
      <c r="H4" s="1" t="s">
        <v>156</v>
      </c>
      <c r="I4" s="49" t="s">
        <v>159</v>
      </c>
      <c r="J4" s="1" t="s">
        <v>156</v>
      </c>
      <c r="K4" s="1" t="s">
        <v>140</v>
      </c>
      <c r="L4" s="1" t="s">
        <v>6</v>
      </c>
      <c r="M4" s="1" t="s">
        <v>141</v>
      </c>
      <c r="N4" s="1" t="s">
        <v>157</v>
      </c>
      <c r="O4" s="130"/>
      <c r="P4" s="129"/>
      <c r="Q4" s="130"/>
    </row>
    <row r="5" spans="1:17" ht="29.25" customHeight="1">
      <c r="A5" s="50"/>
      <c r="B5" s="51"/>
      <c r="C5" s="85"/>
      <c r="D5" s="52" t="s">
        <v>7</v>
      </c>
      <c r="E5" s="53">
        <f>E17+E19+E21+E18+E20</f>
        <v>3460779.7699999996</v>
      </c>
      <c r="F5" s="53">
        <f>F17+F19+F21+F18+F20</f>
        <v>20002935.000000004</v>
      </c>
      <c r="G5" s="53">
        <f>G17+G19+G21+G18+G20</f>
        <v>3637018.9999999995</v>
      </c>
      <c r="H5" s="53">
        <f>H17+H19+H21+H18+H20</f>
        <v>2805101.6999999997</v>
      </c>
      <c r="I5" s="53">
        <f>I17+I19+I21+I18+I20</f>
        <v>1716962.8999999997</v>
      </c>
      <c r="J5" s="53">
        <f>J17+J19+J21+J18+J20</f>
        <v>1330408.0000000002</v>
      </c>
      <c r="K5" s="54">
        <f>I5-E5</f>
        <v>-1743816.8699999999</v>
      </c>
      <c r="L5" s="54">
        <f>I5-G5</f>
        <v>-1920056.0999999999</v>
      </c>
      <c r="M5" s="54">
        <f>I5-F5</f>
        <v>-18285972.100000005</v>
      </c>
      <c r="N5" s="54">
        <f>J5-H5</f>
        <v>-1474693.6999999995</v>
      </c>
      <c r="O5" s="55">
        <f aca="true" t="shared" si="0" ref="O5:O36">_xlfn.IFERROR(I5/E5,"")</f>
        <v>0.49612024286653755</v>
      </c>
      <c r="P5" s="55">
        <f aca="true" t="shared" si="1" ref="P5:P36">_xlfn.IFERROR(I5/G5,"")</f>
        <v>0.4720797169330157</v>
      </c>
      <c r="Q5" s="55">
        <f aca="true" t="shared" si="2" ref="Q5:Q36">_xlfn.IFERROR(I5/F5,"")</f>
        <v>0.08583554863323804</v>
      </c>
    </row>
    <row r="6" spans="1:21" ht="15.75">
      <c r="A6" s="146" t="s">
        <v>12</v>
      </c>
      <c r="B6" s="77" t="s">
        <v>13</v>
      </c>
      <c r="C6" s="85" t="s">
        <v>14</v>
      </c>
      <c r="D6" s="4" t="s">
        <v>15</v>
      </c>
      <c r="E6" s="35">
        <v>2662321.6699999995</v>
      </c>
      <c r="F6" s="5">
        <f>14235121.9+613644.6</f>
        <v>14848766.5</v>
      </c>
      <c r="G6" s="5">
        <v>2796612.3</v>
      </c>
      <c r="H6" s="5">
        <v>2055445</v>
      </c>
      <c r="I6" s="98">
        <v>1264128.6499999994</v>
      </c>
      <c r="J6" s="98">
        <v>876762.85</v>
      </c>
      <c r="K6" s="5">
        <f aca="true" t="shared" si="3" ref="K6:K57">I6-E6</f>
        <v>-1398193.02</v>
      </c>
      <c r="L6" s="5">
        <f aca="true" t="shared" si="4" ref="L6:L64">I6-G6</f>
        <v>-1532483.6500000004</v>
      </c>
      <c r="M6" s="5">
        <f aca="true" t="shared" si="5" ref="M6:M64">I6-F6</f>
        <v>-13584637.850000001</v>
      </c>
      <c r="N6" s="5">
        <f>J6-H6</f>
        <v>-1178682.15</v>
      </c>
      <c r="O6" s="43">
        <f t="shared" si="0"/>
        <v>0.47482190609972375</v>
      </c>
      <c r="P6" s="43">
        <f t="shared" si="1"/>
        <v>0.4520214153388368</v>
      </c>
      <c r="Q6" s="43">
        <f t="shared" si="2"/>
        <v>0.08513357995090026</v>
      </c>
      <c r="U6" s="81"/>
    </row>
    <row r="7" spans="1:21" ht="15.75">
      <c r="A7" s="142"/>
      <c r="B7" s="77" t="s">
        <v>8</v>
      </c>
      <c r="C7" s="85" t="s">
        <v>9</v>
      </c>
      <c r="D7" s="2" t="s">
        <v>10</v>
      </c>
      <c r="E7" s="34">
        <v>11708.56</v>
      </c>
      <c r="F7" s="3">
        <v>80057.5</v>
      </c>
      <c r="G7" s="3">
        <v>17850</v>
      </c>
      <c r="H7" s="3">
        <v>11430</v>
      </c>
      <c r="I7" s="99">
        <v>12725.33</v>
      </c>
      <c r="J7" s="99">
        <v>4010.2700000000004</v>
      </c>
      <c r="K7" s="3">
        <f>I7-E7</f>
        <v>1016.7700000000004</v>
      </c>
      <c r="L7" s="3">
        <f>I7-G7</f>
        <v>-5124.67</v>
      </c>
      <c r="M7" s="3">
        <f>I7-F7</f>
        <v>-67332.17</v>
      </c>
      <c r="N7" s="3">
        <f>J7-H7</f>
        <v>-7419.73</v>
      </c>
      <c r="O7" s="43">
        <f t="shared" si="0"/>
        <v>1.086839884665578</v>
      </c>
      <c r="P7" s="43">
        <f t="shared" si="1"/>
        <v>0.7129036414565826</v>
      </c>
      <c r="Q7" s="43">
        <f t="shared" si="2"/>
        <v>0.15895237797832806</v>
      </c>
      <c r="U7" s="81"/>
    </row>
    <row r="8" spans="1:21" ht="15.75">
      <c r="A8" s="142"/>
      <c r="B8" s="77" t="s">
        <v>13</v>
      </c>
      <c r="C8" s="86" t="s">
        <v>143</v>
      </c>
      <c r="D8" s="36" t="s">
        <v>142</v>
      </c>
      <c r="E8" s="35"/>
      <c r="F8" s="35">
        <v>1204375.9</v>
      </c>
      <c r="G8" s="35">
        <v>218966.3</v>
      </c>
      <c r="H8" s="35">
        <v>218966.3</v>
      </c>
      <c r="I8" s="98">
        <v>15016.750000000002</v>
      </c>
      <c r="J8" s="98">
        <v>18528.289999999997</v>
      </c>
      <c r="K8" s="5">
        <f>I8-E8</f>
        <v>15016.750000000002</v>
      </c>
      <c r="L8" s="5">
        <f>I8-G8</f>
        <v>-203949.55</v>
      </c>
      <c r="M8" s="5">
        <f>I8-F8</f>
        <v>-1189359.15</v>
      </c>
      <c r="N8" s="5">
        <f aca="true" t="shared" si="6" ref="N8:N64">J8-H8</f>
        <v>-200438.00999999998</v>
      </c>
      <c r="O8" s="43">
        <f t="shared" si="0"/>
      </c>
      <c r="P8" s="43">
        <f t="shared" si="1"/>
        <v>0.0685801879101944</v>
      </c>
      <c r="Q8" s="43">
        <f t="shared" si="2"/>
        <v>0.012468490942072159</v>
      </c>
      <c r="U8" s="81"/>
    </row>
    <row r="9" spans="1:21" ht="15.75">
      <c r="A9" s="142"/>
      <c r="B9" s="77" t="s">
        <v>13</v>
      </c>
      <c r="C9" s="85" t="s">
        <v>16</v>
      </c>
      <c r="D9" s="4" t="s">
        <v>17</v>
      </c>
      <c r="E9" s="35">
        <v>1529.02</v>
      </c>
      <c r="F9" s="5"/>
      <c r="G9" s="5"/>
      <c r="H9" s="5"/>
      <c r="I9" s="99">
        <v>-3721.8400000000006</v>
      </c>
      <c r="J9" s="99">
        <v>240.65</v>
      </c>
      <c r="K9" s="5">
        <f t="shared" si="3"/>
        <v>-5250.860000000001</v>
      </c>
      <c r="L9" s="5">
        <f>I9-G9</f>
        <v>-3721.8400000000006</v>
      </c>
      <c r="M9" s="5">
        <f t="shared" si="5"/>
        <v>-3721.8400000000006</v>
      </c>
      <c r="N9" s="5">
        <f t="shared" si="6"/>
        <v>240.65</v>
      </c>
      <c r="O9" s="43">
        <f t="shared" si="0"/>
        <v>-2.4341342820891816</v>
      </c>
      <c r="P9" s="43">
        <f t="shared" si="1"/>
      </c>
      <c r="Q9" s="43">
        <f t="shared" si="2"/>
      </c>
      <c r="U9" s="81"/>
    </row>
    <row r="10" spans="1:21" ht="15.75">
      <c r="A10" s="142"/>
      <c r="B10" s="77" t="s">
        <v>13</v>
      </c>
      <c r="C10" s="85" t="s">
        <v>18</v>
      </c>
      <c r="D10" s="4" t="s">
        <v>19</v>
      </c>
      <c r="E10" s="35">
        <v>312.72999999999996</v>
      </c>
      <c r="F10" s="5">
        <v>4690.3</v>
      </c>
      <c r="G10" s="5">
        <v>2720.4</v>
      </c>
      <c r="H10" s="5">
        <v>2720.4</v>
      </c>
      <c r="I10" s="100">
        <v>30.55</v>
      </c>
      <c r="J10" s="100">
        <v>14.41</v>
      </c>
      <c r="K10" s="5">
        <f t="shared" si="3"/>
        <v>-282.17999999999995</v>
      </c>
      <c r="L10" s="5">
        <f t="shared" si="4"/>
        <v>-2689.85</v>
      </c>
      <c r="M10" s="5">
        <f t="shared" si="5"/>
        <v>-4659.75</v>
      </c>
      <c r="N10" s="5">
        <f t="shared" si="6"/>
        <v>-2705.9900000000002</v>
      </c>
      <c r="O10" s="43">
        <f t="shared" si="0"/>
        <v>0.09768810155725388</v>
      </c>
      <c r="P10" s="43">
        <f t="shared" si="1"/>
        <v>0.011229966181443906</v>
      </c>
      <c r="Q10" s="43">
        <f t="shared" si="2"/>
        <v>0.006513442636931539</v>
      </c>
      <c r="U10" s="81"/>
    </row>
    <row r="11" spans="1:21" ht="31.5">
      <c r="A11" s="142"/>
      <c r="B11" s="77" t="s">
        <v>13</v>
      </c>
      <c r="C11" s="85" t="s">
        <v>20</v>
      </c>
      <c r="D11" s="4" t="s">
        <v>145</v>
      </c>
      <c r="E11" s="35">
        <v>52647.420000000006</v>
      </c>
      <c r="F11" s="5">
        <v>314766.5</v>
      </c>
      <c r="G11" s="5">
        <v>1823</v>
      </c>
      <c r="H11" s="5">
        <v>0</v>
      </c>
      <c r="I11" s="100">
        <v>-40399.69</v>
      </c>
      <c r="J11" s="100">
        <v>1714.34</v>
      </c>
      <c r="K11" s="5">
        <f t="shared" si="3"/>
        <v>-93047.11000000002</v>
      </c>
      <c r="L11" s="5">
        <f t="shared" si="4"/>
        <v>-42222.69</v>
      </c>
      <c r="M11" s="5">
        <f t="shared" si="5"/>
        <v>-355166.19</v>
      </c>
      <c r="N11" s="5">
        <f t="shared" si="6"/>
        <v>1714.34</v>
      </c>
      <c r="O11" s="43">
        <f t="shared" si="0"/>
        <v>-0.7673631490394021</v>
      </c>
      <c r="P11" s="43">
        <f t="shared" si="1"/>
        <v>-22.161102578167856</v>
      </c>
      <c r="Q11" s="43">
        <f t="shared" si="2"/>
        <v>-0.12834812472102336</v>
      </c>
      <c r="U11" s="81"/>
    </row>
    <row r="12" spans="1:21" ht="15.75">
      <c r="A12" s="142"/>
      <c r="B12" s="77" t="s">
        <v>21</v>
      </c>
      <c r="C12" s="85" t="s">
        <v>22</v>
      </c>
      <c r="D12" s="4" t="s">
        <v>23</v>
      </c>
      <c r="E12" s="35">
        <v>45540.340000000004</v>
      </c>
      <c r="F12" s="5">
        <v>1083466.2</v>
      </c>
      <c r="G12" s="5">
        <v>45300</v>
      </c>
      <c r="H12" s="5">
        <v>12500</v>
      </c>
      <c r="I12" s="100">
        <v>14368.77</v>
      </c>
      <c r="J12" s="100">
        <v>2681.2</v>
      </c>
      <c r="K12" s="5">
        <f t="shared" si="3"/>
        <v>-31171.570000000003</v>
      </c>
      <c r="L12" s="5">
        <f t="shared" si="4"/>
        <v>-30931.23</v>
      </c>
      <c r="M12" s="5">
        <f t="shared" si="5"/>
        <v>-1069097.43</v>
      </c>
      <c r="N12" s="5">
        <f t="shared" si="6"/>
        <v>-9818.8</v>
      </c>
      <c r="O12" s="43">
        <f t="shared" si="0"/>
        <v>0.3155174072042501</v>
      </c>
      <c r="P12" s="43">
        <f t="shared" si="1"/>
        <v>0.31719139072847685</v>
      </c>
      <c r="Q12" s="43">
        <f t="shared" si="2"/>
        <v>0.013261853484677235</v>
      </c>
      <c r="U12" s="81"/>
    </row>
    <row r="13" spans="1:21" ht="15.75">
      <c r="A13" s="142"/>
      <c r="B13" s="77" t="s">
        <v>104</v>
      </c>
      <c r="C13" s="85" t="s">
        <v>149</v>
      </c>
      <c r="D13" s="4" t="s">
        <v>148</v>
      </c>
      <c r="E13" s="35">
        <v>174106.65999999997</v>
      </c>
      <c r="F13" s="5"/>
      <c r="G13" s="5"/>
      <c r="H13" s="5"/>
      <c r="I13" s="100"/>
      <c r="J13" s="100"/>
      <c r="K13" s="5">
        <f t="shared" si="3"/>
        <v>-174106.65999999997</v>
      </c>
      <c r="L13" s="5">
        <f t="shared" si="4"/>
        <v>0</v>
      </c>
      <c r="M13" s="5">
        <f t="shared" si="5"/>
        <v>0</v>
      </c>
      <c r="N13" s="5">
        <f t="shared" si="6"/>
        <v>0</v>
      </c>
      <c r="O13" s="43">
        <f t="shared" si="0"/>
        <v>0</v>
      </c>
      <c r="P13" s="43">
        <f t="shared" si="1"/>
      </c>
      <c r="Q13" s="43">
        <f t="shared" si="2"/>
      </c>
      <c r="U13" s="81"/>
    </row>
    <row r="14" spans="1:21" ht="15.75">
      <c r="A14" s="142"/>
      <c r="B14" s="77" t="s">
        <v>21</v>
      </c>
      <c r="C14" s="85" t="s">
        <v>24</v>
      </c>
      <c r="D14" s="4" t="s">
        <v>25</v>
      </c>
      <c r="E14" s="35">
        <v>466226.03999999986</v>
      </c>
      <c r="F14" s="5">
        <v>2237196.9</v>
      </c>
      <c r="G14" s="5">
        <v>499900</v>
      </c>
      <c r="H14" s="5">
        <v>481600</v>
      </c>
      <c r="I14" s="100">
        <v>416929.07999999996</v>
      </c>
      <c r="J14" s="100">
        <v>412626.59</v>
      </c>
      <c r="K14" s="5">
        <f t="shared" si="3"/>
        <v>-49296.959999999905</v>
      </c>
      <c r="L14" s="5">
        <f t="shared" si="4"/>
        <v>-82970.92000000004</v>
      </c>
      <c r="M14" s="5">
        <f t="shared" si="5"/>
        <v>-1820267.8199999998</v>
      </c>
      <c r="N14" s="5">
        <f t="shared" si="6"/>
        <v>-68973.40999999997</v>
      </c>
      <c r="O14" s="43">
        <f t="shared" si="0"/>
        <v>0.8942638210426859</v>
      </c>
      <c r="P14" s="43">
        <f t="shared" si="1"/>
        <v>0.8340249649929985</v>
      </c>
      <c r="Q14" s="43">
        <f t="shared" si="2"/>
        <v>0.18636226431388314</v>
      </c>
      <c r="U14" s="81"/>
    </row>
    <row r="15" spans="1:21" ht="15.75">
      <c r="A15" s="142"/>
      <c r="B15" s="77" t="s">
        <v>26</v>
      </c>
      <c r="C15" s="85" t="s">
        <v>27</v>
      </c>
      <c r="D15" s="4" t="s">
        <v>28</v>
      </c>
      <c r="E15" s="35">
        <v>46079.97</v>
      </c>
      <c r="F15" s="5">
        <v>228385.6</v>
      </c>
      <c r="G15" s="5">
        <v>53580</v>
      </c>
      <c r="H15" s="5">
        <v>22310</v>
      </c>
      <c r="I15" s="101">
        <v>37797.799999999996</v>
      </c>
      <c r="J15" s="101">
        <v>13815.02</v>
      </c>
      <c r="K15" s="5">
        <f t="shared" si="3"/>
        <v>-8282.170000000006</v>
      </c>
      <c r="L15" s="5">
        <f t="shared" si="4"/>
        <v>-15782.200000000004</v>
      </c>
      <c r="M15" s="5">
        <f t="shared" si="5"/>
        <v>-190587.80000000002</v>
      </c>
      <c r="N15" s="5">
        <f t="shared" si="6"/>
        <v>-8494.98</v>
      </c>
      <c r="O15" s="43">
        <f t="shared" si="0"/>
        <v>0.8202652909713265</v>
      </c>
      <c r="P15" s="43">
        <f t="shared" si="1"/>
        <v>0.7054460619634191</v>
      </c>
      <c r="Q15" s="43">
        <f t="shared" si="2"/>
        <v>0.16549992644019584</v>
      </c>
      <c r="U15" s="81"/>
    </row>
    <row r="16" spans="1:21" ht="15.75">
      <c r="A16" s="142"/>
      <c r="B16" s="77" t="s">
        <v>21</v>
      </c>
      <c r="C16" s="85" t="s">
        <v>29</v>
      </c>
      <c r="D16" s="4" t="s">
        <v>30</v>
      </c>
      <c r="E16" s="35">
        <v>17.96</v>
      </c>
      <c r="F16" s="5"/>
      <c r="G16" s="5"/>
      <c r="H16" s="5"/>
      <c r="I16" s="102">
        <v>-0.1</v>
      </c>
      <c r="J16" s="102">
        <v>2.18</v>
      </c>
      <c r="K16" s="5">
        <f t="shared" si="3"/>
        <v>-18.060000000000002</v>
      </c>
      <c r="L16" s="5">
        <f t="shared" si="4"/>
        <v>-0.1</v>
      </c>
      <c r="M16" s="5">
        <f t="shared" si="5"/>
        <v>-0.1</v>
      </c>
      <c r="N16" s="5">
        <f t="shared" si="6"/>
        <v>2.18</v>
      </c>
      <c r="O16" s="43">
        <f t="shared" si="0"/>
        <v>-0.005567928730512249</v>
      </c>
      <c r="P16" s="43">
        <f t="shared" si="1"/>
      </c>
      <c r="Q16" s="43">
        <f t="shared" si="2"/>
      </c>
      <c r="U16" s="81"/>
    </row>
    <row r="17" spans="1:21" ht="15.75">
      <c r="A17" s="143"/>
      <c r="B17" s="59"/>
      <c r="C17" s="87"/>
      <c r="D17" s="60" t="s">
        <v>11</v>
      </c>
      <c r="E17" s="61">
        <v>3460490.3699999996</v>
      </c>
      <c r="F17" s="29">
        <f>SUM(F6:F16)</f>
        <v>20001705.400000002</v>
      </c>
      <c r="G17" s="29">
        <f>SUM(G6:G16)</f>
        <v>3636751.9999999995</v>
      </c>
      <c r="H17" s="29">
        <f>SUM(H6:H16)</f>
        <v>2804971.6999999997</v>
      </c>
      <c r="I17" s="29">
        <f>SUM(I6:I16)</f>
        <v>1716875.2999999996</v>
      </c>
      <c r="J17" s="29">
        <f>SUM(J6:J16)</f>
        <v>1330395.8</v>
      </c>
      <c r="K17" s="29">
        <f t="shared" si="3"/>
        <v>-1743615.07</v>
      </c>
      <c r="L17" s="29">
        <f t="shared" si="4"/>
        <v>-1919876.7</v>
      </c>
      <c r="M17" s="29">
        <f t="shared" si="5"/>
        <v>-18284830.1</v>
      </c>
      <c r="N17" s="29">
        <f>J17-H17</f>
        <v>-1474575.8999999997</v>
      </c>
      <c r="O17" s="62">
        <f t="shared" si="0"/>
        <v>0.49613641895498173</v>
      </c>
      <c r="P17" s="62">
        <f t="shared" si="1"/>
        <v>0.47209028825721405</v>
      </c>
      <c r="Q17" s="62">
        <f t="shared" si="2"/>
        <v>0.08583644572627289</v>
      </c>
      <c r="U17" s="81"/>
    </row>
    <row r="18" spans="1:21" ht="15.75">
      <c r="A18" s="78" t="s">
        <v>101</v>
      </c>
      <c r="B18" s="77" t="s">
        <v>32</v>
      </c>
      <c r="C18" s="85" t="s">
        <v>34</v>
      </c>
      <c r="D18" s="4" t="s">
        <v>35</v>
      </c>
      <c r="E18" s="35">
        <v>28</v>
      </c>
      <c r="F18" s="5">
        <v>140</v>
      </c>
      <c r="G18" s="5">
        <v>35</v>
      </c>
      <c r="H18" s="5">
        <v>15</v>
      </c>
      <c r="I18" s="37">
        <v>20</v>
      </c>
      <c r="J18" s="37">
        <v>-4</v>
      </c>
      <c r="K18" s="5">
        <f t="shared" si="3"/>
        <v>-8</v>
      </c>
      <c r="L18" s="5">
        <f t="shared" si="4"/>
        <v>-15</v>
      </c>
      <c r="M18" s="5">
        <f t="shared" si="5"/>
        <v>-120</v>
      </c>
      <c r="N18" s="5">
        <f t="shared" si="6"/>
        <v>-19</v>
      </c>
      <c r="O18" s="43">
        <f t="shared" si="0"/>
        <v>0.7142857142857143</v>
      </c>
      <c r="P18" s="43">
        <f t="shared" si="1"/>
        <v>0.5714285714285714</v>
      </c>
      <c r="Q18" s="43">
        <f t="shared" si="2"/>
        <v>0.14285714285714285</v>
      </c>
      <c r="U18" s="81"/>
    </row>
    <row r="19" spans="1:21" ht="19.5" customHeight="1">
      <c r="A19" s="78" t="s">
        <v>31</v>
      </c>
      <c r="B19" s="77" t="s">
        <v>32</v>
      </c>
      <c r="C19" s="85" t="s">
        <v>33</v>
      </c>
      <c r="D19" s="4" t="s">
        <v>144</v>
      </c>
      <c r="E19" s="35">
        <v>33.599999999999994</v>
      </c>
      <c r="F19" s="5"/>
      <c r="G19" s="5"/>
      <c r="H19" s="5"/>
      <c r="I19" s="37">
        <v>28.8</v>
      </c>
      <c r="J19" s="37">
        <v>9.600000000000001</v>
      </c>
      <c r="K19" s="5">
        <f t="shared" si="3"/>
        <v>-4.799999999999994</v>
      </c>
      <c r="L19" s="5">
        <f t="shared" si="4"/>
        <v>28.8</v>
      </c>
      <c r="M19" s="5">
        <f t="shared" si="5"/>
        <v>28.8</v>
      </c>
      <c r="N19" s="5">
        <f t="shared" si="6"/>
        <v>9.600000000000001</v>
      </c>
      <c r="O19" s="43">
        <f t="shared" si="0"/>
        <v>0.8571428571428573</v>
      </c>
      <c r="P19" s="43">
        <f t="shared" si="1"/>
      </c>
      <c r="Q19" s="43">
        <f t="shared" si="2"/>
      </c>
      <c r="U19" s="81"/>
    </row>
    <row r="20" spans="1:21" ht="31.5">
      <c r="A20" s="79" t="s">
        <v>38</v>
      </c>
      <c r="B20" s="80" t="s">
        <v>103</v>
      </c>
      <c r="C20" s="85" t="s">
        <v>39</v>
      </c>
      <c r="D20" s="4" t="s">
        <v>40</v>
      </c>
      <c r="E20" s="35">
        <v>212.8</v>
      </c>
      <c r="F20" s="5">
        <v>969.6</v>
      </c>
      <c r="G20" s="5">
        <v>222</v>
      </c>
      <c r="H20" s="5">
        <v>110</v>
      </c>
      <c r="I20" s="37">
        <v>28.8</v>
      </c>
      <c r="J20" s="37">
        <v>1.6</v>
      </c>
      <c r="K20" s="5">
        <f t="shared" si="3"/>
        <v>-184</v>
      </c>
      <c r="L20" s="5">
        <f t="shared" si="4"/>
        <v>-193.2</v>
      </c>
      <c r="M20" s="5">
        <f t="shared" si="5"/>
        <v>-940.8000000000001</v>
      </c>
      <c r="N20" s="5">
        <f t="shared" si="6"/>
        <v>-108.4</v>
      </c>
      <c r="O20" s="43">
        <f t="shared" si="0"/>
        <v>0.13533834586466165</v>
      </c>
      <c r="P20" s="43">
        <f t="shared" si="1"/>
        <v>0.12972972972972974</v>
      </c>
      <c r="Q20" s="43">
        <f t="shared" si="2"/>
        <v>0.0297029702970297</v>
      </c>
      <c r="U20" s="81"/>
    </row>
    <row r="21" spans="1:21" ht="15.75">
      <c r="A21" s="78" t="s">
        <v>36</v>
      </c>
      <c r="B21" s="77" t="s">
        <v>13</v>
      </c>
      <c r="C21" s="85" t="s">
        <v>37</v>
      </c>
      <c r="D21" s="4" t="s">
        <v>105</v>
      </c>
      <c r="E21" s="35">
        <v>15</v>
      </c>
      <c r="F21" s="5">
        <v>120</v>
      </c>
      <c r="G21" s="5">
        <v>10</v>
      </c>
      <c r="H21" s="5">
        <v>5</v>
      </c>
      <c r="I21" s="37">
        <v>10</v>
      </c>
      <c r="J21" s="37">
        <v>5</v>
      </c>
      <c r="K21" s="5">
        <f t="shared" si="3"/>
        <v>-5</v>
      </c>
      <c r="L21" s="5">
        <f t="shared" si="4"/>
        <v>0</v>
      </c>
      <c r="M21" s="5">
        <f t="shared" si="5"/>
        <v>-110</v>
      </c>
      <c r="N21" s="5">
        <f t="shared" si="6"/>
        <v>0</v>
      </c>
      <c r="O21" s="43">
        <f t="shared" si="0"/>
        <v>0.6666666666666666</v>
      </c>
      <c r="P21" s="43">
        <f t="shared" si="1"/>
        <v>1</v>
      </c>
      <c r="Q21" s="43">
        <f t="shared" si="2"/>
        <v>0.08333333333333333</v>
      </c>
      <c r="U21" s="81"/>
    </row>
    <row r="22" spans="1:21" ht="27.75" customHeight="1">
      <c r="A22" s="147"/>
      <c r="B22" s="147"/>
      <c r="C22" s="148"/>
      <c r="D22" s="56" t="s">
        <v>41</v>
      </c>
      <c r="E22" s="54">
        <f aca="true" t="shared" si="7" ref="E22:J22">E26+E29+E37+E46+E48+E53+E56+E58+E67</f>
        <v>1218312.4400000002</v>
      </c>
      <c r="F22" s="54">
        <f t="shared" si="7"/>
        <v>6086578.0200000005</v>
      </c>
      <c r="G22" s="54">
        <f t="shared" si="7"/>
        <v>1364529.7000000002</v>
      </c>
      <c r="H22" s="54">
        <f t="shared" si="7"/>
        <v>596391.9</v>
      </c>
      <c r="I22" s="54">
        <f t="shared" si="7"/>
        <v>1529604.0999999999</v>
      </c>
      <c r="J22" s="54">
        <f t="shared" si="7"/>
        <v>443012.77999999997</v>
      </c>
      <c r="K22" s="54">
        <f t="shared" si="3"/>
        <v>311291.6599999997</v>
      </c>
      <c r="L22" s="54">
        <f t="shared" si="4"/>
        <v>165074.39999999967</v>
      </c>
      <c r="M22" s="54">
        <f t="shared" si="5"/>
        <v>-4556973.920000001</v>
      </c>
      <c r="N22" s="54">
        <f t="shared" si="6"/>
        <v>-153379.12000000005</v>
      </c>
      <c r="O22" s="55">
        <f t="shared" si="0"/>
        <v>1.255510532257226</v>
      </c>
      <c r="P22" s="55">
        <f t="shared" si="1"/>
        <v>1.1209753074630766</v>
      </c>
      <c r="Q22" s="55">
        <f t="shared" si="2"/>
        <v>0.2513077290677693</v>
      </c>
      <c r="T22" s="6"/>
      <c r="U22" s="81"/>
    </row>
    <row r="23" spans="1:17" ht="31.5">
      <c r="A23" s="137" t="s">
        <v>38</v>
      </c>
      <c r="B23" s="139" t="s">
        <v>103</v>
      </c>
      <c r="C23" s="88" t="s">
        <v>71</v>
      </c>
      <c r="D23" s="7" t="s">
        <v>146</v>
      </c>
      <c r="E23" s="39">
        <v>23468.14</v>
      </c>
      <c r="F23" s="5">
        <f>135475.5+25225.6</f>
        <v>160701.1</v>
      </c>
      <c r="G23" s="5">
        <f>26900+4425+1925</f>
        <v>33250</v>
      </c>
      <c r="H23" s="5">
        <f>11200+4425+1925</f>
        <v>17550</v>
      </c>
      <c r="I23" s="37">
        <v>33907.159999999996</v>
      </c>
      <c r="J23" s="37">
        <v>11856.09</v>
      </c>
      <c r="K23" s="8">
        <f t="shared" si="3"/>
        <v>10439.019999999997</v>
      </c>
      <c r="L23" s="8">
        <f t="shared" si="4"/>
        <v>657.1599999999962</v>
      </c>
      <c r="M23" s="8">
        <f t="shared" si="5"/>
        <v>-126793.94</v>
      </c>
      <c r="N23" s="8">
        <f t="shared" si="6"/>
        <v>-5693.91</v>
      </c>
      <c r="O23" s="44">
        <f t="shared" si="0"/>
        <v>1.4448166748621747</v>
      </c>
      <c r="P23" s="44">
        <f t="shared" si="1"/>
        <v>1.0197642105263156</v>
      </c>
      <c r="Q23" s="44">
        <f t="shared" si="2"/>
        <v>0.21099519542803374</v>
      </c>
    </row>
    <row r="24" spans="1:17" ht="15.75">
      <c r="A24" s="142"/>
      <c r="B24" s="144"/>
      <c r="C24" s="85" t="s">
        <v>42</v>
      </c>
      <c r="D24" s="7" t="s">
        <v>43</v>
      </c>
      <c r="E24" s="38"/>
      <c r="F24" s="5">
        <v>31937.8</v>
      </c>
      <c r="G24" s="5">
        <f>H24</f>
        <v>0</v>
      </c>
      <c r="H24" s="5">
        <v>0</v>
      </c>
      <c r="I24" s="17">
        <v>0</v>
      </c>
      <c r="J24" s="17">
        <v>0</v>
      </c>
      <c r="K24" s="5">
        <f t="shared" si="3"/>
        <v>0</v>
      </c>
      <c r="L24" s="5">
        <f t="shared" si="4"/>
        <v>0</v>
      </c>
      <c r="M24" s="5">
        <f t="shared" si="5"/>
        <v>-31937.8</v>
      </c>
      <c r="N24" s="5">
        <f t="shared" si="6"/>
        <v>0</v>
      </c>
      <c r="O24" s="44">
        <f t="shared" si="0"/>
      </c>
      <c r="P24" s="44">
        <f t="shared" si="1"/>
      </c>
      <c r="Q24" s="44">
        <f t="shared" si="2"/>
        <v>0</v>
      </c>
    </row>
    <row r="25" spans="1:17" ht="15.75">
      <c r="A25" s="142"/>
      <c r="B25" s="144"/>
      <c r="C25" s="85" t="s">
        <v>72</v>
      </c>
      <c r="D25" s="7" t="s">
        <v>73</v>
      </c>
      <c r="E25" s="38">
        <v>14364.62</v>
      </c>
      <c r="F25" s="5">
        <f>110819.4+14383.9-8662.9</f>
        <v>116540.4</v>
      </c>
      <c r="G25" s="5">
        <f>20450+1500+1000</f>
        <v>22950</v>
      </c>
      <c r="H25" s="5">
        <f>7600+1500+1000</f>
        <v>10100</v>
      </c>
      <c r="I25" s="38">
        <v>21833.050000000003</v>
      </c>
      <c r="J25" s="38">
        <v>6048.45</v>
      </c>
      <c r="K25" s="8">
        <f t="shared" si="3"/>
        <v>7468.430000000002</v>
      </c>
      <c r="L25" s="8">
        <f t="shared" si="4"/>
        <v>-1116.949999999997</v>
      </c>
      <c r="M25" s="8">
        <f t="shared" si="5"/>
        <v>-94707.34999999999</v>
      </c>
      <c r="N25" s="8">
        <f t="shared" si="6"/>
        <v>-4051.55</v>
      </c>
      <c r="O25" s="44">
        <f t="shared" si="0"/>
        <v>1.5199183828044183</v>
      </c>
      <c r="P25" s="44">
        <f t="shared" si="1"/>
        <v>0.951331154684096</v>
      </c>
      <c r="Q25" s="44">
        <f t="shared" si="2"/>
        <v>0.18734318742684944</v>
      </c>
    </row>
    <row r="26" spans="1:17" ht="15.75">
      <c r="A26" s="143"/>
      <c r="B26" s="145"/>
      <c r="C26" s="87"/>
      <c r="D26" s="60" t="s">
        <v>11</v>
      </c>
      <c r="E26" s="29">
        <v>37832.76</v>
      </c>
      <c r="F26" s="29">
        <f>SUM(F23:F25)</f>
        <v>309179.3</v>
      </c>
      <c r="G26" s="29">
        <f>SUM(G23:G25)</f>
        <v>56200</v>
      </c>
      <c r="H26" s="29">
        <f>SUM(H23:H25)</f>
        <v>27650</v>
      </c>
      <c r="I26" s="29">
        <f>SUM(I23:I25)</f>
        <v>55740.21</v>
      </c>
      <c r="J26" s="29">
        <f>SUM(J23:J25)</f>
        <v>17904.54</v>
      </c>
      <c r="K26" s="29">
        <f t="shared" si="3"/>
        <v>17907.449999999997</v>
      </c>
      <c r="L26" s="29">
        <f t="shared" si="4"/>
        <v>-459.7900000000009</v>
      </c>
      <c r="M26" s="29">
        <f t="shared" si="5"/>
        <v>-253439.09</v>
      </c>
      <c r="N26" s="29">
        <f t="shared" si="6"/>
        <v>-9745.46</v>
      </c>
      <c r="O26" s="63">
        <f t="shared" si="0"/>
        <v>1.4733318425618431</v>
      </c>
      <c r="P26" s="63">
        <f t="shared" si="1"/>
        <v>0.9918186832740213</v>
      </c>
      <c r="Q26" s="63">
        <f t="shared" si="2"/>
        <v>0.18028441748849292</v>
      </c>
    </row>
    <row r="27" spans="1:17" ht="31.5">
      <c r="A27" s="108">
        <v>951</v>
      </c>
      <c r="B27" s="108" t="s">
        <v>13</v>
      </c>
      <c r="C27" s="88" t="s">
        <v>118</v>
      </c>
      <c r="D27" s="9" t="s">
        <v>45</v>
      </c>
      <c r="E27" s="39">
        <v>16187.74</v>
      </c>
      <c r="F27" s="5">
        <v>91712.1</v>
      </c>
      <c r="G27" s="5">
        <v>18903</v>
      </c>
      <c r="H27" s="5">
        <v>11120</v>
      </c>
      <c r="I27" s="37">
        <v>14380.88</v>
      </c>
      <c r="J27" s="37">
        <v>7256.23</v>
      </c>
      <c r="K27" s="5">
        <f t="shared" si="3"/>
        <v>-1806.8600000000006</v>
      </c>
      <c r="L27" s="5">
        <f t="shared" si="4"/>
        <v>-4522.120000000001</v>
      </c>
      <c r="M27" s="5">
        <f t="shared" si="5"/>
        <v>-77331.22</v>
      </c>
      <c r="N27" s="5">
        <f t="shared" si="6"/>
        <v>-3863.7700000000004</v>
      </c>
      <c r="O27" s="44">
        <f t="shared" si="0"/>
        <v>0.8883809599116368</v>
      </c>
      <c r="P27" s="44">
        <f t="shared" si="1"/>
        <v>0.7607723641749986</v>
      </c>
      <c r="Q27" s="44">
        <f t="shared" si="2"/>
        <v>0.15680460920641875</v>
      </c>
    </row>
    <row r="28" spans="1:17" ht="15.75">
      <c r="A28" s="108"/>
      <c r="B28" s="108"/>
      <c r="C28" s="85" t="s">
        <v>117</v>
      </c>
      <c r="D28" s="7" t="s">
        <v>47</v>
      </c>
      <c r="E28" s="39">
        <v>2279.52</v>
      </c>
      <c r="F28" s="5">
        <v>14224.9</v>
      </c>
      <c r="G28" s="5">
        <v>642.3</v>
      </c>
      <c r="H28" s="5">
        <v>11.1</v>
      </c>
      <c r="I28" s="37">
        <v>908.22</v>
      </c>
      <c r="J28" s="37">
        <v>1050.8</v>
      </c>
      <c r="K28" s="5">
        <f t="shared" si="3"/>
        <v>-1371.3</v>
      </c>
      <c r="L28" s="5">
        <f t="shared" si="4"/>
        <v>265.9200000000001</v>
      </c>
      <c r="M28" s="5">
        <f t="shared" si="5"/>
        <v>-13316.68</v>
      </c>
      <c r="N28" s="5">
        <f t="shared" si="6"/>
        <v>1039.7</v>
      </c>
      <c r="O28" s="44">
        <f t="shared" si="0"/>
        <v>0.39842598441777216</v>
      </c>
      <c r="P28" s="44">
        <f t="shared" si="1"/>
        <v>1.4140121438580104</v>
      </c>
      <c r="Q28" s="44">
        <f t="shared" si="2"/>
        <v>0.06384719751984197</v>
      </c>
    </row>
    <row r="29" spans="1:17" ht="15.75">
      <c r="A29" s="108"/>
      <c r="B29" s="108"/>
      <c r="C29" s="87"/>
      <c r="D29" s="64" t="s">
        <v>11</v>
      </c>
      <c r="E29" s="29">
        <v>18467.26</v>
      </c>
      <c r="F29" s="29">
        <f>F27+F28</f>
        <v>105937</v>
      </c>
      <c r="G29" s="29">
        <f>G27+G28</f>
        <v>19545.3</v>
      </c>
      <c r="H29" s="29">
        <f>H27+H28</f>
        <v>11131.1</v>
      </c>
      <c r="I29" s="29">
        <f>I27+I28</f>
        <v>15289.099999999999</v>
      </c>
      <c r="J29" s="29">
        <f>J27+J28</f>
        <v>8307.029999999999</v>
      </c>
      <c r="K29" s="29">
        <f t="shared" si="3"/>
        <v>-3178.16</v>
      </c>
      <c r="L29" s="29">
        <f t="shared" si="4"/>
        <v>-4256.200000000001</v>
      </c>
      <c r="M29" s="29">
        <f t="shared" si="5"/>
        <v>-90647.9</v>
      </c>
      <c r="N29" s="29">
        <f t="shared" si="6"/>
        <v>-2824.0700000000015</v>
      </c>
      <c r="O29" s="63">
        <f t="shared" si="0"/>
        <v>0.8279030023945079</v>
      </c>
      <c r="P29" s="63">
        <f t="shared" si="1"/>
        <v>0.7822392084030432</v>
      </c>
      <c r="Q29" s="63">
        <f t="shared" si="2"/>
        <v>0.14432256907407232</v>
      </c>
    </row>
    <row r="30" spans="1:17" ht="15.75">
      <c r="A30" s="131" t="s">
        <v>48</v>
      </c>
      <c r="B30" s="108" t="s">
        <v>49</v>
      </c>
      <c r="C30" s="85" t="s">
        <v>50</v>
      </c>
      <c r="D30" s="7" t="s">
        <v>51</v>
      </c>
      <c r="E30" s="38"/>
      <c r="F30" s="3">
        <v>496</v>
      </c>
      <c r="G30" s="3">
        <f>H30</f>
        <v>0</v>
      </c>
      <c r="H30" s="3">
        <v>0</v>
      </c>
      <c r="I30" s="38">
        <v>0</v>
      </c>
      <c r="J30" s="38">
        <v>0</v>
      </c>
      <c r="K30" s="3">
        <f t="shared" si="3"/>
        <v>0</v>
      </c>
      <c r="L30" s="3">
        <f t="shared" si="4"/>
        <v>0</v>
      </c>
      <c r="M30" s="3">
        <f t="shared" si="5"/>
        <v>-496</v>
      </c>
      <c r="N30" s="3">
        <f t="shared" si="6"/>
        <v>0</v>
      </c>
      <c r="O30" s="44">
        <f t="shared" si="0"/>
      </c>
      <c r="P30" s="44">
        <f t="shared" si="1"/>
      </c>
      <c r="Q30" s="44">
        <f t="shared" si="2"/>
        <v>0</v>
      </c>
    </row>
    <row r="31" spans="1:17" ht="15.75">
      <c r="A31" s="131"/>
      <c r="B31" s="108"/>
      <c r="C31" s="85" t="s">
        <v>52</v>
      </c>
      <c r="D31" s="10" t="s">
        <v>53</v>
      </c>
      <c r="E31" s="38">
        <v>17517.1</v>
      </c>
      <c r="F31" s="3">
        <v>100081.7</v>
      </c>
      <c r="G31" s="3">
        <v>21000</v>
      </c>
      <c r="H31" s="3">
        <v>8500</v>
      </c>
      <c r="I31" s="38">
        <v>19978.71</v>
      </c>
      <c r="J31" s="38">
        <v>5287.31</v>
      </c>
      <c r="K31" s="3">
        <f t="shared" si="3"/>
        <v>2461.6100000000006</v>
      </c>
      <c r="L31" s="3">
        <f t="shared" si="4"/>
        <v>-1021.2900000000009</v>
      </c>
      <c r="M31" s="3">
        <f t="shared" si="5"/>
        <v>-80102.98999999999</v>
      </c>
      <c r="N31" s="3">
        <f t="shared" si="6"/>
        <v>-3212.6899999999996</v>
      </c>
      <c r="O31" s="44">
        <f t="shared" si="0"/>
        <v>1.1405261144824201</v>
      </c>
      <c r="P31" s="44">
        <f t="shared" si="1"/>
        <v>0.9513671428571429</v>
      </c>
      <c r="Q31" s="44">
        <f t="shared" si="2"/>
        <v>0.19962400718612894</v>
      </c>
    </row>
    <row r="32" spans="1:17" ht="15.75">
      <c r="A32" s="131"/>
      <c r="B32" s="108"/>
      <c r="C32" s="88" t="s">
        <v>44</v>
      </c>
      <c r="D32" s="9" t="s">
        <v>54</v>
      </c>
      <c r="E32" s="38">
        <v>139.25</v>
      </c>
      <c r="F32" s="3">
        <v>557</v>
      </c>
      <c r="G32" s="3">
        <v>139.2</v>
      </c>
      <c r="H32" s="3">
        <v>46.4</v>
      </c>
      <c r="I32" s="38">
        <v>2561.58</v>
      </c>
      <c r="J32" s="38">
        <v>799.55</v>
      </c>
      <c r="K32" s="3">
        <f t="shared" si="3"/>
        <v>2422.33</v>
      </c>
      <c r="L32" s="3">
        <f t="shared" si="4"/>
        <v>2422.38</v>
      </c>
      <c r="M32" s="3">
        <f t="shared" si="5"/>
        <v>2004.58</v>
      </c>
      <c r="N32" s="3">
        <f t="shared" si="6"/>
        <v>753.15</v>
      </c>
      <c r="O32" s="44">
        <f t="shared" si="0"/>
        <v>18.395547576301617</v>
      </c>
      <c r="P32" s="44">
        <f t="shared" si="1"/>
        <v>18.402155172413796</v>
      </c>
      <c r="Q32" s="44">
        <f t="shared" si="2"/>
        <v>4.598886894075404</v>
      </c>
    </row>
    <row r="33" spans="1:17" ht="15.75">
      <c r="A33" s="131"/>
      <c r="B33" s="108"/>
      <c r="C33" s="88" t="s">
        <v>55</v>
      </c>
      <c r="D33" s="9" t="s">
        <v>56</v>
      </c>
      <c r="E33" s="5">
        <v>12929.56</v>
      </c>
      <c r="F33" s="5">
        <f>F34+F36+F35</f>
        <v>171171.09999999998</v>
      </c>
      <c r="G33" s="5">
        <f>G34+G36+G35</f>
        <v>98514.00000000001</v>
      </c>
      <c r="H33" s="5">
        <f>H34+H36+H35</f>
        <v>91778.70000000001</v>
      </c>
      <c r="I33" s="5">
        <v>136328.69</v>
      </c>
      <c r="J33" s="5">
        <v>8044.58</v>
      </c>
      <c r="K33" s="11">
        <f t="shared" si="3"/>
        <v>123399.13</v>
      </c>
      <c r="L33" s="11">
        <f t="shared" si="4"/>
        <v>37814.68999999999</v>
      </c>
      <c r="M33" s="11">
        <f t="shared" si="5"/>
        <v>-34842.409999999974</v>
      </c>
      <c r="N33" s="11">
        <f t="shared" si="6"/>
        <v>-83734.12000000001</v>
      </c>
      <c r="O33" s="44">
        <f t="shared" si="0"/>
        <v>10.543954318631107</v>
      </c>
      <c r="P33" s="44">
        <f t="shared" si="1"/>
        <v>1.3838509247416608</v>
      </c>
      <c r="Q33" s="44">
        <f t="shared" si="2"/>
        <v>0.7964468885226538</v>
      </c>
    </row>
    <row r="34" spans="1:17" ht="15.75">
      <c r="A34" s="131"/>
      <c r="B34" s="108"/>
      <c r="C34" s="89" t="s">
        <v>120</v>
      </c>
      <c r="D34" s="12" t="s">
        <v>57</v>
      </c>
      <c r="E34" s="40">
        <v>4426.83</v>
      </c>
      <c r="F34" s="13">
        <f>48594.6+85630.3</f>
        <v>134224.9</v>
      </c>
      <c r="G34" s="13">
        <f>3862.8+85630.3</f>
        <v>89493.1</v>
      </c>
      <c r="H34" s="13">
        <f>1510+85630.3</f>
        <v>87140.3</v>
      </c>
      <c r="I34" s="40">
        <v>124830.57</v>
      </c>
      <c r="J34" s="40">
        <v>2717.57</v>
      </c>
      <c r="K34" s="13">
        <f t="shared" si="3"/>
        <v>120403.74</v>
      </c>
      <c r="L34" s="13">
        <f t="shared" si="4"/>
        <v>35337.47</v>
      </c>
      <c r="M34" s="13">
        <f t="shared" si="5"/>
        <v>-9394.329999999987</v>
      </c>
      <c r="N34" s="13">
        <f t="shared" si="6"/>
        <v>-84422.73</v>
      </c>
      <c r="O34" s="44">
        <f t="shared" si="0"/>
        <v>28.198636496093144</v>
      </c>
      <c r="P34" s="44">
        <f t="shared" si="1"/>
        <v>1.3948625089532043</v>
      </c>
      <c r="Q34" s="44">
        <f t="shared" si="2"/>
        <v>0.9300105271078616</v>
      </c>
    </row>
    <row r="35" spans="1:17" ht="15.75">
      <c r="A35" s="131"/>
      <c r="B35" s="108"/>
      <c r="C35" s="89" t="s">
        <v>121</v>
      </c>
      <c r="D35" s="12" t="s">
        <v>58</v>
      </c>
      <c r="E35" s="40">
        <v>106.51</v>
      </c>
      <c r="F35" s="13">
        <v>1867.8</v>
      </c>
      <c r="G35" s="13">
        <v>160.3</v>
      </c>
      <c r="H35" s="13">
        <v>160.3</v>
      </c>
      <c r="I35" s="40">
        <v>560</v>
      </c>
      <c r="J35" s="40">
        <v>0</v>
      </c>
      <c r="K35" s="13">
        <f t="shared" si="3"/>
        <v>453.49</v>
      </c>
      <c r="L35" s="13">
        <f t="shared" si="4"/>
        <v>399.7</v>
      </c>
      <c r="M35" s="13">
        <f t="shared" si="5"/>
        <v>-1307.8</v>
      </c>
      <c r="N35" s="13">
        <f t="shared" si="6"/>
        <v>-160.3</v>
      </c>
      <c r="O35" s="44">
        <f t="shared" si="0"/>
        <v>5.25772227959816</v>
      </c>
      <c r="P35" s="44">
        <f t="shared" si="1"/>
        <v>3.4934497816593884</v>
      </c>
      <c r="Q35" s="44">
        <f t="shared" si="2"/>
        <v>0.29981796766249064</v>
      </c>
    </row>
    <row r="36" spans="1:17" ht="15.75">
      <c r="A36" s="131"/>
      <c r="B36" s="108"/>
      <c r="C36" s="89" t="s">
        <v>119</v>
      </c>
      <c r="D36" s="12" t="s">
        <v>59</v>
      </c>
      <c r="E36" s="29">
        <v>8396.22</v>
      </c>
      <c r="F36" s="5">
        <f>35078.4+85630.3-85630.3</f>
        <v>35078.40000000001</v>
      </c>
      <c r="G36" s="5">
        <f>8860.6+85630.3-85630.3</f>
        <v>8860.600000000006</v>
      </c>
      <c r="H36" s="5">
        <f>4478.1+85630.3-85630.3</f>
        <v>4478.100000000006</v>
      </c>
      <c r="I36" s="29">
        <v>10938.12</v>
      </c>
      <c r="J36" s="40">
        <v>5327.01</v>
      </c>
      <c r="K36" s="13">
        <f t="shared" si="3"/>
        <v>2541.9000000000015</v>
      </c>
      <c r="L36" s="13">
        <f t="shared" si="4"/>
        <v>2077.519999999995</v>
      </c>
      <c r="M36" s="13">
        <f t="shared" si="5"/>
        <v>-24140.280000000006</v>
      </c>
      <c r="N36" s="13">
        <f t="shared" si="6"/>
        <v>848.9099999999944</v>
      </c>
      <c r="O36" s="44">
        <f t="shared" si="0"/>
        <v>1.3027433773769628</v>
      </c>
      <c r="P36" s="44">
        <f t="shared" si="1"/>
        <v>1.234467191838024</v>
      </c>
      <c r="Q36" s="44">
        <f t="shared" si="2"/>
        <v>0.31181923918992877</v>
      </c>
    </row>
    <row r="37" spans="1:17" ht="15.75">
      <c r="A37" s="131"/>
      <c r="B37" s="131"/>
      <c r="C37" s="87"/>
      <c r="D37" s="64" t="s">
        <v>11</v>
      </c>
      <c r="E37" s="29">
        <v>30585.909999999996</v>
      </c>
      <c r="F37" s="29">
        <f>SUM(F30:F33)</f>
        <v>272305.8</v>
      </c>
      <c r="G37" s="29">
        <f>SUM(G30:G33)</f>
        <v>119653.20000000001</v>
      </c>
      <c r="H37" s="29">
        <f>SUM(H30:H33)</f>
        <v>100325.1</v>
      </c>
      <c r="I37" s="29">
        <f>SUM(I30:I33)</f>
        <v>158868.98</v>
      </c>
      <c r="J37" s="29">
        <f>SUM(J30:J33)</f>
        <v>14131.44</v>
      </c>
      <c r="K37" s="29">
        <f t="shared" si="3"/>
        <v>128283.07</v>
      </c>
      <c r="L37" s="29">
        <f t="shared" si="4"/>
        <v>39215.78</v>
      </c>
      <c r="M37" s="29">
        <f t="shared" si="5"/>
        <v>-113436.81999999998</v>
      </c>
      <c r="N37" s="29">
        <f t="shared" si="6"/>
        <v>-86193.66</v>
      </c>
      <c r="O37" s="63">
        <f aca="true" t="shared" si="8" ref="O37:O63">_xlfn.IFERROR(I37/E37,"")</f>
        <v>5.1941884351323875</v>
      </c>
      <c r="P37" s="63">
        <f aca="true" t="shared" si="9" ref="P37:P63">_xlfn.IFERROR(I37/G37,"")</f>
        <v>1.3277453507302772</v>
      </c>
      <c r="Q37" s="63">
        <f aca="true" t="shared" si="10" ref="Q37:Q63">_xlfn.IFERROR(I37/F37,"")</f>
        <v>0.5834212124750924</v>
      </c>
    </row>
    <row r="38" spans="1:17" ht="31.5">
      <c r="A38" s="131" t="s">
        <v>102</v>
      </c>
      <c r="B38" s="108" t="s">
        <v>21</v>
      </c>
      <c r="C38" s="88" t="s">
        <v>133</v>
      </c>
      <c r="D38" s="9" t="s">
        <v>61</v>
      </c>
      <c r="E38" s="39">
        <v>87942.46</v>
      </c>
      <c r="F38" s="5">
        <v>326627.4</v>
      </c>
      <c r="G38" s="5">
        <v>94600.5</v>
      </c>
      <c r="H38" s="5">
        <v>40000</v>
      </c>
      <c r="I38" s="39">
        <v>91709.04999999999</v>
      </c>
      <c r="J38" s="39">
        <v>28523.65</v>
      </c>
      <c r="K38" s="11">
        <f t="shared" si="3"/>
        <v>3766.589999999982</v>
      </c>
      <c r="L38" s="11">
        <f t="shared" si="4"/>
        <v>-2891.4500000000116</v>
      </c>
      <c r="M38" s="11">
        <f t="shared" si="5"/>
        <v>-234918.35000000003</v>
      </c>
      <c r="N38" s="11">
        <f t="shared" si="6"/>
        <v>-11476.349999999999</v>
      </c>
      <c r="O38" s="44">
        <f t="shared" si="8"/>
        <v>1.0428301641778042</v>
      </c>
      <c r="P38" s="44">
        <f t="shared" si="9"/>
        <v>0.9694351509770032</v>
      </c>
      <c r="Q38" s="44">
        <f t="shared" si="10"/>
        <v>0.2807757401859121</v>
      </c>
    </row>
    <row r="39" spans="1:17" ht="31.5">
      <c r="A39" s="131"/>
      <c r="B39" s="108"/>
      <c r="C39" s="88" t="s">
        <v>131</v>
      </c>
      <c r="D39" s="9" t="s">
        <v>62</v>
      </c>
      <c r="E39" s="39">
        <v>6802.26</v>
      </c>
      <c r="F39" s="5">
        <f>245061.4+9204.6</f>
        <v>254266</v>
      </c>
      <c r="G39" s="5">
        <v>43700</v>
      </c>
      <c r="H39" s="5">
        <v>24300</v>
      </c>
      <c r="I39" s="39">
        <v>36013.34</v>
      </c>
      <c r="J39" s="39">
        <v>11628.6</v>
      </c>
      <c r="K39" s="11">
        <f t="shared" si="3"/>
        <v>29211.079999999994</v>
      </c>
      <c r="L39" s="11">
        <f t="shared" si="4"/>
        <v>-7686.6600000000035</v>
      </c>
      <c r="M39" s="11">
        <f t="shared" si="5"/>
        <v>-218252.66</v>
      </c>
      <c r="N39" s="11">
        <f t="shared" si="6"/>
        <v>-12671.4</v>
      </c>
      <c r="O39" s="44">
        <f t="shared" si="8"/>
        <v>5.294319828998009</v>
      </c>
      <c r="P39" s="44">
        <f t="shared" si="9"/>
        <v>0.824103890160183</v>
      </c>
      <c r="Q39" s="44">
        <f t="shared" si="10"/>
        <v>0.14163647518740216</v>
      </c>
    </row>
    <row r="40" spans="1:17" ht="31.5">
      <c r="A40" s="131"/>
      <c r="B40" s="108"/>
      <c r="C40" s="85" t="s">
        <v>136</v>
      </c>
      <c r="D40" s="7" t="s">
        <v>63</v>
      </c>
      <c r="E40" s="39">
        <v>15352.65</v>
      </c>
      <c r="F40" s="5">
        <f>48566.2-5534.78</f>
        <v>43031.42</v>
      </c>
      <c r="G40" s="5">
        <f>13800-2460</f>
        <v>11340</v>
      </c>
      <c r="H40" s="5">
        <f>6400-2460</f>
        <v>3940</v>
      </c>
      <c r="I40" s="39">
        <v>12200.95</v>
      </c>
      <c r="J40" s="39">
        <v>5622.85</v>
      </c>
      <c r="K40" s="5">
        <f t="shared" si="3"/>
        <v>-3151.699999999999</v>
      </c>
      <c r="L40" s="5">
        <f t="shared" si="4"/>
        <v>860.9500000000007</v>
      </c>
      <c r="M40" s="5">
        <f t="shared" si="5"/>
        <v>-30830.469999999998</v>
      </c>
      <c r="N40" s="5">
        <f t="shared" si="6"/>
        <v>1682.8500000000004</v>
      </c>
      <c r="O40" s="44">
        <f t="shared" si="8"/>
        <v>0.7947129648627437</v>
      </c>
      <c r="P40" s="44">
        <f t="shared" si="9"/>
        <v>1.0759215167548501</v>
      </c>
      <c r="Q40" s="44">
        <f t="shared" si="10"/>
        <v>0.2835358442737888</v>
      </c>
    </row>
    <row r="41" spans="1:17" s="42" customFormat="1" ht="25.5" customHeight="1">
      <c r="A41" s="132"/>
      <c r="B41" s="135"/>
      <c r="C41" s="90" t="s">
        <v>130</v>
      </c>
      <c r="D41" s="9" t="s">
        <v>62</v>
      </c>
      <c r="E41" s="39">
        <v>955.13</v>
      </c>
      <c r="F41" s="5"/>
      <c r="G41" s="5"/>
      <c r="H41" s="5"/>
      <c r="I41" s="39">
        <v>0</v>
      </c>
      <c r="J41" s="39">
        <v>0</v>
      </c>
      <c r="K41" s="5">
        <f t="shared" si="3"/>
        <v>-955.13</v>
      </c>
      <c r="L41" s="5">
        <f t="shared" si="4"/>
        <v>0</v>
      </c>
      <c r="M41" s="5">
        <f t="shared" si="5"/>
        <v>0</v>
      </c>
      <c r="N41" s="5">
        <f t="shared" si="6"/>
        <v>0</v>
      </c>
      <c r="O41" s="47">
        <f t="shared" si="8"/>
        <v>0</v>
      </c>
      <c r="P41" s="47">
        <f t="shared" si="9"/>
      </c>
      <c r="Q41" s="47">
        <f t="shared" si="10"/>
      </c>
    </row>
    <row r="42" spans="1:17" ht="31.5">
      <c r="A42" s="133"/>
      <c r="B42" s="109"/>
      <c r="C42" s="91" t="s">
        <v>108</v>
      </c>
      <c r="D42" s="14" t="s">
        <v>109</v>
      </c>
      <c r="E42" s="39">
        <v>1413.26</v>
      </c>
      <c r="F42" s="5">
        <v>2948.3</v>
      </c>
      <c r="G42" s="5">
        <v>1412.3</v>
      </c>
      <c r="H42" s="5">
        <v>1412.3</v>
      </c>
      <c r="I42" s="39">
        <v>1640.79</v>
      </c>
      <c r="J42" s="39">
        <v>148.78</v>
      </c>
      <c r="K42" s="5">
        <f t="shared" si="3"/>
        <v>227.52999999999997</v>
      </c>
      <c r="L42" s="5">
        <f t="shared" si="4"/>
        <v>228.49</v>
      </c>
      <c r="M42" s="5">
        <f t="shared" si="5"/>
        <v>-1307.5100000000002</v>
      </c>
      <c r="N42" s="5">
        <f t="shared" si="6"/>
        <v>-1263.52</v>
      </c>
      <c r="O42" s="44">
        <f t="shared" si="8"/>
        <v>1.1609965611423234</v>
      </c>
      <c r="P42" s="44">
        <f t="shared" si="9"/>
        <v>1.161785739573745</v>
      </c>
      <c r="Q42" s="44">
        <f t="shared" si="10"/>
        <v>0.556520706848014</v>
      </c>
    </row>
    <row r="43" spans="1:17" ht="15.75">
      <c r="A43" s="134"/>
      <c r="B43" s="136"/>
      <c r="C43" s="92" t="s">
        <v>123</v>
      </c>
      <c r="D43" s="15" t="s">
        <v>122</v>
      </c>
      <c r="E43" s="39">
        <v>56.27</v>
      </c>
      <c r="F43" s="5"/>
      <c r="G43" s="5"/>
      <c r="H43" s="5"/>
      <c r="I43" s="39">
        <v>33.89</v>
      </c>
      <c r="J43" s="39">
        <v>23.25</v>
      </c>
      <c r="K43" s="5">
        <f t="shared" si="3"/>
        <v>-22.380000000000003</v>
      </c>
      <c r="L43" s="5">
        <f t="shared" si="4"/>
        <v>33.89</v>
      </c>
      <c r="M43" s="5">
        <f t="shared" si="5"/>
        <v>33.89</v>
      </c>
      <c r="N43" s="5">
        <f t="shared" si="6"/>
        <v>23.25</v>
      </c>
      <c r="O43" s="44">
        <f t="shared" si="8"/>
        <v>0.6022747467567087</v>
      </c>
      <c r="P43" s="44">
        <f t="shared" si="9"/>
      </c>
      <c r="Q43" s="44">
        <f t="shared" si="10"/>
      </c>
    </row>
    <row r="44" spans="1:17" ht="47.25">
      <c r="A44" s="131"/>
      <c r="B44" s="108"/>
      <c r="C44" s="88" t="s">
        <v>64</v>
      </c>
      <c r="D44" s="9" t="s">
        <v>65</v>
      </c>
      <c r="E44" s="39">
        <v>30355.87</v>
      </c>
      <c r="F44" s="3">
        <v>104142</v>
      </c>
      <c r="G44" s="3">
        <v>15840</v>
      </c>
      <c r="H44" s="3">
        <v>8000</v>
      </c>
      <c r="I44" s="39">
        <v>46626.7</v>
      </c>
      <c r="J44" s="39">
        <v>5349.59</v>
      </c>
      <c r="K44" s="3">
        <f t="shared" si="3"/>
        <v>16270.829999999998</v>
      </c>
      <c r="L44" s="3">
        <f t="shared" si="4"/>
        <v>30786.699999999997</v>
      </c>
      <c r="M44" s="3">
        <f t="shared" si="5"/>
        <v>-57515.3</v>
      </c>
      <c r="N44" s="3">
        <f t="shared" si="6"/>
        <v>-2650.41</v>
      </c>
      <c r="O44" s="44">
        <f t="shared" si="8"/>
        <v>1.536002756633231</v>
      </c>
      <c r="P44" s="44">
        <f t="shared" si="9"/>
        <v>2.943604797979798</v>
      </c>
      <c r="Q44" s="44">
        <f t="shared" si="10"/>
        <v>0.44772234065026595</v>
      </c>
    </row>
    <row r="45" spans="1:17" ht="31.5">
      <c r="A45" s="131"/>
      <c r="B45" s="108"/>
      <c r="C45" s="88" t="s">
        <v>66</v>
      </c>
      <c r="D45" s="9" t="s">
        <v>67</v>
      </c>
      <c r="E45" s="38">
        <v>15028.93</v>
      </c>
      <c r="F45" s="3">
        <v>45272.2</v>
      </c>
      <c r="G45" s="3">
        <v>5400</v>
      </c>
      <c r="H45" s="3">
        <v>2200</v>
      </c>
      <c r="I45" s="38">
        <v>15761.4</v>
      </c>
      <c r="J45" s="38">
        <v>3061.13</v>
      </c>
      <c r="K45" s="3">
        <f t="shared" si="3"/>
        <v>732.4699999999993</v>
      </c>
      <c r="L45" s="3">
        <f t="shared" si="4"/>
        <v>10361.4</v>
      </c>
      <c r="M45" s="3">
        <f t="shared" si="5"/>
        <v>-29510.799999999996</v>
      </c>
      <c r="N45" s="3">
        <f t="shared" si="6"/>
        <v>861.1300000000001</v>
      </c>
      <c r="O45" s="44">
        <f t="shared" si="8"/>
        <v>1.0487373352593963</v>
      </c>
      <c r="P45" s="44">
        <f t="shared" si="9"/>
        <v>2.9187777777777777</v>
      </c>
      <c r="Q45" s="44">
        <f t="shared" si="10"/>
        <v>0.34814742822305966</v>
      </c>
    </row>
    <row r="46" spans="1:17" ht="15.75">
      <c r="A46" s="131"/>
      <c r="B46" s="131"/>
      <c r="C46" s="93"/>
      <c r="D46" s="64" t="s">
        <v>11</v>
      </c>
      <c r="E46" s="29">
        <v>157906.83</v>
      </c>
      <c r="F46" s="29">
        <f>SUM(F38:F45)</f>
        <v>776287.3200000001</v>
      </c>
      <c r="G46" s="29">
        <f>SUM(G38:G45)</f>
        <v>172292.8</v>
      </c>
      <c r="H46" s="29">
        <f>SUM(H38:H45)</f>
        <v>79852.3</v>
      </c>
      <c r="I46" s="29">
        <f>SUM(I38:I45)</f>
        <v>203986.12000000002</v>
      </c>
      <c r="J46" s="29">
        <f>SUM(J38:J45)</f>
        <v>54357.85</v>
      </c>
      <c r="K46" s="29">
        <f t="shared" si="3"/>
        <v>46079.29000000004</v>
      </c>
      <c r="L46" s="29">
        <f t="shared" si="4"/>
        <v>31693.320000000036</v>
      </c>
      <c r="M46" s="29">
        <f t="shared" si="5"/>
        <v>-572301.2000000001</v>
      </c>
      <c r="N46" s="29">
        <f t="shared" si="6"/>
        <v>-25494.450000000004</v>
      </c>
      <c r="O46" s="44">
        <f t="shared" si="8"/>
        <v>1.2918131533639174</v>
      </c>
      <c r="P46" s="44">
        <f t="shared" si="9"/>
        <v>1.1839503449941033</v>
      </c>
      <c r="Q46" s="44">
        <f t="shared" si="10"/>
        <v>0.26277141819088323</v>
      </c>
    </row>
    <row r="47" spans="1:17" ht="15.75">
      <c r="A47" s="131" t="s">
        <v>68</v>
      </c>
      <c r="B47" s="108" t="s">
        <v>69</v>
      </c>
      <c r="C47" s="85" t="s">
        <v>42</v>
      </c>
      <c r="D47" s="7" t="s">
        <v>43</v>
      </c>
      <c r="E47" s="38"/>
      <c r="F47" s="3">
        <v>4487</v>
      </c>
      <c r="G47" s="3">
        <f>H47</f>
        <v>0</v>
      </c>
      <c r="H47" s="3">
        <v>0</v>
      </c>
      <c r="I47" s="38">
        <v>2731.14</v>
      </c>
      <c r="J47" s="38">
        <v>2731.14</v>
      </c>
      <c r="K47" s="8">
        <f t="shared" si="3"/>
        <v>2731.14</v>
      </c>
      <c r="L47" s="8">
        <f t="shared" si="4"/>
        <v>2731.14</v>
      </c>
      <c r="M47" s="8">
        <f t="shared" si="5"/>
        <v>-1755.8600000000001</v>
      </c>
      <c r="N47" s="8">
        <f t="shared" si="6"/>
        <v>2731.14</v>
      </c>
      <c r="O47" s="44">
        <f t="shared" si="8"/>
      </c>
      <c r="P47" s="44">
        <f t="shared" si="9"/>
      </c>
      <c r="Q47" s="44">
        <f t="shared" si="10"/>
        <v>0.6086784042790283</v>
      </c>
    </row>
    <row r="48" spans="1:17" ht="15.75">
      <c r="A48" s="131"/>
      <c r="B48" s="108"/>
      <c r="C48" s="93"/>
      <c r="D48" s="65" t="s">
        <v>11</v>
      </c>
      <c r="E48" s="29">
        <v>0</v>
      </c>
      <c r="F48" s="66">
        <f>SUM(F47:F47)</f>
        <v>4487</v>
      </c>
      <c r="G48" s="66">
        <f>SUM(G47:G47)</f>
        <v>0</v>
      </c>
      <c r="H48" s="66">
        <f>SUM(H47:H47)</f>
        <v>0</v>
      </c>
      <c r="I48" s="66">
        <f>SUM(I47:I47)</f>
        <v>2731.14</v>
      </c>
      <c r="J48" s="66">
        <f>SUM(J47:J47)</f>
        <v>2731.14</v>
      </c>
      <c r="K48" s="67">
        <f t="shared" si="3"/>
        <v>2731.14</v>
      </c>
      <c r="L48" s="67">
        <f t="shared" si="4"/>
        <v>2731.14</v>
      </c>
      <c r="M48" s="67">
        <f t="shared" si="5"/>
        <v>-1755.8600000000001</v>
      </c>
      <c r="N48" s="67">
        <f t="shared" si="6"/>
        <v>2731.14</v>
      </c>
      <c r="O48" s="44">
        <f t="shared" si="8"/>
      </c>
      <c r="P48" s="44">
        <f t="shared" si="9"/>
      </c>
      <c r="Q48" s="44">
        <f t="shared" si="10"/>
        <v>0.6086784042790283</v>
      </c>
    </row>
    <row r="49" spans="1:17" ht="15.75">
      <c r="A49" s="137"/>
      <c r="B49" s="139"/>
      <c r="C49" s="94" t="s">
        <v>113</v>
      </c>
      <c r="D49" s="16" t="s">
        <v>135</v>
      </c>
      <c r="E49" s="38">
        <v>86987.39</v>
      </c>
      <c r="F49" s="3">
        <v>537127.7</v>
      </c>
      <c r="G49" s="3">
        <v>122528.59999999999</v>
      </c>
      <c r="H49" s="3">
        <v>44219.6</v>
      </c>
      <c r="I49" s="38">
        <v>133070.47</v>
      </c>
      <c r="J49" s="38">
        <v>38631.31</v>
      </c>
      <c r="K49" s="8">
        <f t="shared" si="3"/>
        <v>46083.08</v>
      </c>
      <c r="L49" s="8">
        <f t="shared" si="4"/>
        <v>10541.87000000001</v>
      </c>
      <c r="M49" s="8">
        <f t="shared" si="5"/>
        <v>-404057.23</v>
      </c>
      <c r="N49" s="8">
        <f t="shared" si="6"/>
        <v>-5588.290000000001</v>
      </c>
      <c r="O49" s="44">
        <f t="shared" si="8"/>
        <v>1.5297673605335211</v>
      </c>
      <c r="P49" s="44">
        <f t="shared" si="9"/>
        <v>1.0860359948616078</v>
      </c>
      <c r="Q49" s="44">
        <f t="shared" si="10"/>
        <v>0.2477445680049642</v>
      </c>
    </row>
    <row r="50" spans="1:17" ht="15.75">
      <c r="A50" s="138"/>
      <c r="B50" s="140"/>
      <c r="C50" s="94" t="s">
        <v>114</v>
      </c>
      <c r="D50" s="16" t="s">
        <v>110</v>
      </c>
      <c r="E50" s="38">
        <v>66541.42</v>
      </c>
      <c r="F50" s="38">
        <v>354489</v>
      </c>
      <c r="G50" s="38">
        <v>92821.6</v>
      </c>
      <c r="H50" s="38">
        <v>30416.9</v>
      </c>
      <c r="I50" s="38">
        <v>77789.54</v>
      </c>
      <c r="J50" s="38">
        <v>19558.34</v>
      </c>
      <c r="K50" s="17">
        <f t="shared" si="3"/>
        <v>11248.119999999995</v>
      </c>
      <c r="L50" s="17">
        <f t="shared" si="4"/>
        <v>-15032.060000000012</v>
      </c>
      <c r="M50" s="17">
        <f t="shared" si="5"/>
        <v>-276699.46</v>
      </c>
      <c r="N50" s="17">
        <f t="shared" si="6"/>
        <v>-10858.560000000001</v>
      </c>
      <c r="O50" s="44">
        <f t="shared" si="8"/>
        <v>1.1690393742724456</v>
      </c>
      <c r="P50" s="44">
        <f t="shared" si="9"/>
        <v>0.8380542890878846</v>
      </c>
      <c r="Q50" s="44">
        <f t="shared" si="10"/>
        <v>0.21944133668463617</v>
      </c>
    </row>
    <row r="51" spans="1:17" ht="31.5">
      <c r="A51" s="137"/>
      <c r="B51" s="139"/>
      <c r="C51" s="94" t="s">
        <v>115</v>
      </c>
      <c r="D51" s="16" t="s">
        <v>111</v>
      </c>
      <c r="E51" s="38">
        <v>754864.76</v>
      </c>
      <c r="F51" s="5">
        <f>3510723.4+35171.1</f>
        <v>3545894.5</v>
      </c>
      <c r="G51" s="5">
        <v>746501.5</v>
      </c>
      <c r="H51" s="5">
        <v>285700.8</v>
      </c>
      <c r="I51" s="38">
        <v>817257.54</v>
      </c>
      <c r="J51" s="38">
        <v>260023.49</v>
      </c>
      <c r="K51" s="8">
        <f t="shared" si="3"/>
        <v>62392.78000000003</v>
      </c>
      <c r="L51" s="8">
        <f t="shared" si="4"/>
        <v>70756.04000000004</v>
      </c>
      <c r="M51" s="8">
        <f t="shared" si="5"/>
        <v>-2728636.96</v>
      </c>
      <c r="N51" s="8">
        <f t="shared" si="6"/>
        <v>-25677.309999999998</v>
      </c>
      <c r="O51" s="44">
        <f t="shared" si="8"/>
        <v>1.082654249219423</v>
      </c>
      <c r="P51" s="44">
        <f t="shared" si="9"/>
        <v>1.0947835201938643</v>
      </c>
      <c r="Q51" s="44">
        <f t="shared" si="10"/>
        <v>0.23047993672682593</v>
      </c>
    </row>
    <row r="52" spans="1:17" ht="31.5">
      <c r="A52" s="138"/>
      <c r="B52" s="140"/>
      <c r="C52" s="94" t="s">
        <v>132</v>
      </c>
      <c r="D52" s="16" t="s">
        <v>112</v>
      </c>
      <c r="E52" s="38">
        <v>888.3</v>
      </c>
      <c r="F52" s="3"/>
      <c r="G52" s="3"/>
      <c r="H52" s="3"/>
      <c r="I52" s="38">
        <v>316.57</v>
      </c>
      <c r="J52" s="38">
        <v>80.82</v>
      </c>
      <c r="K52" s="8">
        <f t="shared" si="3"/>
        <v>-571.73</v>
      </c>
      <c r="L52" s="8">
        <f t="shared" si="4"/>
        <v>316.57</v>
      </c>
      <c r="M52" s="8">
        <f t="shared" si="5"/>
        <v>316.57</v>
      </c>
      <c r="N52" s="8">
        <f t="shared" si="6"/>
        <v>80.82</v>
      </c>
      <c r="O52" s="44">
        <f t="shared" si="8"/>
        <v>0.35637734999437126</v>
      </c>
      <c r="P52" s="44">
        <f t="shared" si="9"/>
      </c>
      <c r="Q52" s="44">
        <f t="shared" si="10"/>
      </c>
    </row>
    <row r="53" spans="1:17" ht="15.75">
      <c r="A53" s="137"/>
      <c r="B53" s="139"/>
      <c r="C53" s="95"/>
      <c r="D53" s="68" t="s">
        <v>11</v>
      </c>
      <c r="E53" s="69">
        <v>909281.8700000001</v>
      </c>
      <c r="F53" s="69">
        <f>SUM(F49:F52)</f>
        <v>4437511.2</v>
      </c>
      <c r="G53" s="69">
        <f>SUM(G49:G52)</f>
        <v>961851.7</v>
      </c>
      <c r="H53" s="69">
        <f>SUM(H49:H52)</f>
        <v>360337.3</v>
      </c>
      <c r="I53" s="69">
        <f>SUM(I49:I52)</f>
        <v>1028434.12</v>
      </c>
      <c r="J53" s="69">
        <f>SUM(J49:J52)</f>
        <v>318293.96</v>
      </c>
      <c r="K53" s="69">
        <f t="shared" si="3"/>
        <v>119152.24999999988</v>
      </c>
      <c r="L53" s="69">
        <f t="shared" si="4"/>
        <v>66582.42000000004</v>
      </c>
      <c r="M53" s="69">
        <f t="shared" si="5"/>
        <v>-3409077.08</v>
      </c>
      <c r="N53" s="69">
        <f t="shared" si="6"/>
        <v>-42043.33999999997</v>
      </c>
      <c r="O53" s="44">
        <f t="shared" si="8"/>
        <v>1.1310399491414032</v>
      </c>
      <c r="P53" s="44">
        <f t="shared" si="9"/>
        <v>1.0692231661076235</v>
      </c>
      <c r="Q53" s="44">
        <f t="shared" si="10"/>
        <v>0.23175921674293462</v>
      </c>
    </row>
    <row r="54" spans="1:17" ht="15.75">
      <c r="A54" s="141">
        <v>991</v>
      </c>
      <c r="B54" s="141" t="s">
        <v>74</v>
      </c>
      <c r="C54" s="88" t="s">
        <v>44</v>
      </c>
      <c r="D54" s="9" t="s">
        <v>75</v>
      </c>
      <c r="E54" s="39">
        <v>12085.2</v>
      </c>
      <c r="F54" s="5">
        <v>54298.2</v>
      </c>
      <c r="G54" s="5">
        <v>12500</v>
      </c>
      <c r="H54" s="5">
        <v>4500</v>
      </c>
      <c r="I54" s="39">
        <v>12482.759999999998</v>
      </c>
      <c r="J54" s="39">
        <v>4510.64</v>
      </c>
      <c r="K54" s="5">
        <f t="shared" si="3"/>
        <v>397.5599999999977</v>
      </c>
      <c r="L54" s="5">
        <f t="shared" si="4"/>
        <v>-17.2400000000016</v>
      </c>
      <c r="M54" s="5">
        <f t="shared" si="5"/>
        <v>-41815.44</v>
      </c>
      <c r="N54" s="5">
        <f t="shared" si="6"/>
        <v>10.640000000000327</v>
      </c>
      <c r="O54" s="44">
        <f t="shared" si="8"/>
        <v>1.0328964353093038</v>
      </c>
      <c r="P54" s="44">
        <f t="shared" si="9"/>
        <v>0.9986207999999999</v>
      </c>
      <c r="Q54" s="44">
        <f t="shared" si="10"/>
        <v>0.22989270362553454</v>
      </c>
    </row>
    <row r="55" spans="1:17" ht="15.75">
      <c r="A55" s="141"/>
      <c r="B55" s="141"/>
      <c r="C55" s="85" t="s">
        <v>76</v>
      </c>
      <c r="D55" s="7" t="s">
        <v>77</v>
      </c>
      <c r="E55" s="39">
        <v>519</v>
      </c>
      <c r="F55" s="5"/>
      <c r="G55" s="5"/>
      <c r="H55" s="5"/>
      <c r="I55" s="39">
        <v>2263.47</v>
      </c>
      <c r="J55" s="39">
        <v>2263.47</v>
      </c>
      <c r="K55" s="5">
        <f t="shared" si="3"/>
        <v>1744.4699999999998</v>
      </c>
      <c r="L55" s="5">
        <f t="shared" si="4"/>
        <v>2263.47</v>
      </c>
      <c r="M55" s="5">
        <f t="shared" si="5"/>
        <v>2263.47</v>
      </c>
      <c r="N55" s="5">
        <f t="shared" si="6"/>
        <v>2263.47</v>
      </c>
      <c r="O55" s="47">
        <f t="shared" si="8"/>
        <v>4.361213872832369</v>
      </c>
      <c r="P55" s="47">
        <f t="shared" si="9"/>
      </c>
      <c r="Q55" s="47">
        <f t="shared" si="10"/>
      </c>
    </row>
    <row r="56" spans="1:17" ht="15.75">
      <c r="A56" s="141"/>
      <c r="B56" s="141"/>
      <c r="C56" s="93"/>
      <c r="D56" s="64" t="s">
        <v>11</v>
      </c>
      <c r="E56" s="29">
        <v>12604.2</v>
      </c>
      <c r="F56" s="29">
        <f>SUM(F54:F55)</f>
        <v>54298.2</v>
      </c>
      <c r="G56" s="29">
        <f>SUM(G54:G55)</f>
        <v>12500</v>
      </c>
      <c r="H56" s="29">
        <f>SUM(H54:H55)</f>
        <v>4500</v>
      </c>
      <c r="I56" s="29">
        <f>SUM(I54:I55)</f>
        <v>14746.229999999998</v>
      </c>
      <c r="J56" s="29">
        <f>SUM(J54:J55)</f>
        <v>6774.110000000001</v>
      </c>
      <c r="K56" s="29">
        <f t="shared" si="3"/>
        <v>2142.029999999997</v>
      </c>
      <c r="L56" s="29">
        <f t="shared" si="4"/>
        <v>2246.2299999999977</v>
      </c>
      <c r="M56" s="29">
        <f t="shared" si="5"/>
        <v>-39551.97</v>
      </c>
      <c r="N56" s="29">
        <f t="shared" si="6"/>
        <v>2274.1100000000006</v>
      </c>
      <c r="O56" s="63">
        <f t="shared" si="8"/>
        <v>1.1699457323749225</v>
      </c>
      <c r="P56" s="63">
        <f t="shared" si="9"/>
        <v>1.1796984</v>
      </c>
      <c r="Q56" s="63">
        <f t="shared" si="10"/>
        <v>0.2715786158657193</v>
      </c>
    </row>
    <row r="57" spans="1:17" ht="15.75">
      <c r="A57" s="131" t="s">
        <v>78</v>
      </c>
      <c r="B57" s="108" t="s">
        <v>79</v>
      </c>
      <c r="C57" s="85" t="s">
        <v>80</v>
      </c>
      <c r="D57" s="7" t="s">
        <v>81</v>
      </c>
      <c r="E57" s="39">
        <v>890.8499999999999</v>
      </c>
      <c r="F57" s="5">
        <v>7767.5</v>
      </c>
      <c r="G57" s="5">
        <v>1870.6</v>
      </c>
      <c r="H57" s="5">
        <v>1561.3999999999999</v>
      </c>
      <c r="I57" s="37">
        <v>4792.72</v>
      </c>
      <c r="J57" s="37">
        <v>3935.1499999999996</v>
      </c>
      <c r="K57" s="5">
        <f t="shared" si="3"/>
        <v>3901.8700000000003</v>
      </c>
      <c r="L57" s="5">
        <f t="shared" si="4"/>
        <v>2922.1200000000003</v>
      </c>
      <c r="M57" s="5">
        <f t="shared" si="5"/>
        <v>-2974.7799999999997</v>
      </c>
      <c r="N57" s="5">
        <f t="shared" si="6"/>
        <v>2373.75</v>
      </c>
      <c r="O57" s="44">
        <f t="shared" si="8"/>
        <v>5.379940506258069</v>
      </c>
      <c r="P57" s="44">
        <f t="shared" si="9"/>
        <v>2.5621297979257993</v>
      </c>
      <c r="Q57" s="44">
        <f t="shared" si="10"/>
        <v>0.6170222079176054</v>
      </c>
    </row>
    <row r="58" spans="1:17" ht="15.75">
      <c r="A58" s="131"/>
      <c r="B58" s="108"/>
      <c r="C58" s="87"/>
      <c r="D58" s="64" t="s">
        <v>11</v>
      </c>
      <c r="E58" s="29">
        <v>890.8499999999999</v>
      </c>
      <c r="F58" s="29">
        <f aca="true" t="shared" si="11" ref="F58:K58">F57</f>
        <v>7767.5</v>
      </c>
      <c r="G58" s="29">
        <f t="shared" si="11"/>
        <v>1870.6</v>
      </c>
      <c r="H58" s="29">
        <f t="shared" si="11"/>
        <v>1561.3999999999999</v>
      </c>
      <c r="I58" s="29">
        <f t="shared" si="11"/>
        <v>4792.72</v>
      </c>
      <c r="J58" s="29">
        <f t="shared" si="11"/>
        <v>3935.1499999999996</v>
      </c>
      <c r="K58" s="71">
        <f t="shared" si="11"/>
        <v>3901.8700000000003</v>
      </c>
      <c r="L58" s="71">
        <f t="shared" si="4"/>
        <v>2922.1200000000003</v>
      </c>
      <c r="M58" s="71">
        <f t="shared" si="5"/>
        <v>-2974.7799999999997</v>
      </c>
      <c r="N58" s="71">
        <f t="shared" si="6"/>
        <v>2373.75</v>
      </c>
      <c r="O58" s="63">
        <f t="shared" si="8"/>
        <v>5.379940506258069</v>
      </c>
      <c r="P58" s="63">
        <f t="shared" si="9"/>
        <v>2.5621297979257993</v>
      </c>
      <c r="Q58" s="63">
        <f t="shared" si="10"/>
        <v>0.6170222079176054</v>
      </c>
    </row>
    <row r="59" spans="1:17" ht="15.75">
      <c r="A59" s="108"/>
      <c r="B59" s="108" t="s">
        <v>82</v>
      </c>
      <c r="C59" s="85" t="s">
        <v>107</v>
      </c>
      <c r="D59" s="10" t="s">
        <v>83</v>
      </c>
      <c r="E59" s="39">
        <v>213.05</v>
      </c>
      <c r="F59" s="5">
        <v>41.2</v>
      </c>
      <c r="G59" s="5">
        <v>26.700000000000003</v>
      </c>
      <c r="H59" s="5">
        <v>8.9</v>
      </c>
      <c r="I59" s="37">
        <v>46.84</v>
      </c>
      <c r="J59" s="37">
        <v>10.61</v>
      </c>
      <c r="K59" s="5">
        <f aca="true" t="shared" si="12" ref="K59:K80">I59-E59</f>
        <v>-166.21</v>
      </c>
      <c r="L59" s="5">
        <f t="shared" si="4"/>
        <v>20.14</v>
      </c>
      <c r="M59" s="5">
        <f t="shared" si="5"/>
        <v>5.640000000000001</v>
      </c>
      <c r="N59" s="5">
        <f t="shared" si="6"/>
        <v>1.709999999999999</v>
      </c>
      <c r="O59" s="44">
        <f t="shared" si="8"/>
        <v>0.21985449425017603</v>
      </c>
      <c r="P59" s="44">
        <f t="shared" si="9"/>
        <v>1.754307116104869</v>
      </c>
      <c r="Q59" s="44">
        <f t="shared" si="10"/>
        <v>1.1368932038834951</v>
      </c>
    </row>
    <row r="60" spans="1:17" ht="15.75">
      <c r="A60" s="109"/>
      <c r="B60" s="109"/>
      <c r="C60" s="85" t="s">
        <v>108</v>
      </c>
      <c r="D60" s="7" t="s">
        <v>147</v>
      </c>
      <c r="E60" s="18">
        <v>42.99</v>
      </c>
      <c r="F60" s="18">
        <v>47.1</v>
      </c>
      <c r="G60" s="18">
        <v>47.1</v>
      </c>
      <c r="H60" s="18">
        <v>0</v>
      </c>
      <c r="I60" s="41">
        <v>7.77000000000001</v>
      </c>
      <c r="J60" s="41">
        <v>170.71</v>
      </c>
      <c r="K60" s="18">
        <f t="shared" si="12"/>
        <v>-35.21999999999999</v>
      </c>
      <c r="L60" s="18">
        <f t="shared" si="4"/>
        <v>-39.32999999999999</v>
      </c>
      <c r="M60" s="18">
        <f t="shared" si="5"/>
        <v>-39.32999999999999</v>
      </c>
      <c r="N60" s="18">
        <f t="shared" si="6"/>
        <v>170.71</v>
      </c>
      <c r="O60" s="44">
        <f t="shared" si="8"/>
        <v>0.18073970690858362</v>
      </c>
      <c r="P60" s="44">
        <f t="shared" si="9"/>
        <v>0.16496815286624225</v>
      </c>
      <c r="Q60" s="44">
        <f t="shared" si="10"/>
        <v>0.16496815286624225</v>
      </c>
    </row>
    <row r="61" spans="1:17" ht="15.75">
      <c r="A61" s="108"/>
      <c r="B61" s="108"/>
      <c r="C61" s="85" t="s">
        <v>42</v>
      </c>
      <c r="D61" s="7" t="s">
        <v>43</v>
      </c>
      <c r="E61" s="39"/>
      <c r="F61" s="5">
        <v>6100</v>
      </c>
      <c r="G61" s="5">
        <f>H61</f>
        <v>0</v>
      </c>
      <c r="H61" s="5">
        <v>0</v>
      </c>
      <c r="I61" s="37">
        <v>0</v>
      </c>
      <c r="J61" s="37">
        <v>0</v>
      </c>
      <c r="K61" s="5">
        <f t="shared" si="12"/>
        <v>0</v>
      </c>
      <c r="L61" s="5">
        <f t="shared" si="4"/>
        <v>0</v>
      </c>
      <c r="M61" s="5">
        <f t="shared" si="5"/>
        <v>-6100</v>
      </c>
      <c r="N61" s="5">
        <f t="shared" si="6"/>
        <v>0</v>
      </c>
      <c r="O61" s="44">
        <f t="shared" si="8"/>
      </c>
      <c r="P61" s="44">
        <f t="shared" si="9"/>
      </c>
      <c r="Q61" s="44">
        <f t="shared" si="10"/>
        <v>0</v>
      </c>
    </row>
    <row r="62" spans="1:17" ht="31.5">
      <c r="A62" s="108"/>
      <c r="B62" s="108"/>
      <c r="C62" s="85" t="s">
        <v>116</v>
      </c>
      <c r="D62" s="7" t="s">
        <v>70</v>
      </c>
      <c r="E62" s="39">
        <v>4081.76</v>
      </c>
      <c r="F62" s="3">
        <v>680.5</v>
      </c>
      <c r="G62" s="3">
        <v>150</v>
      </c>
      <c r="H62" s="3">
        <v>50</v>
      </c>
      <c r="I62" s="39">
        <v>12726.280000000037</v>
      </c>
      <c r="J62" s="39">
        <v>1050.819999999958</v>
      </c>
      <c r="K62" s="3">
        <f t="shared" si="12"/>
        <v>8644.520000000037</v>
      </c>
      <c r="L62" s="3">
        <f t="shared" si="4"/>
        <v>12576.280000000037</v>
      </c>
      <c r="M62" s="3">
        <f t="shared" si="5"/>
        <v>12045.780000000037</v>
      </c>
      <c r="N62" s="3">
        <f t="shared" si="6"/>
        <v>1000.8199999999581</v>
      </c>
      <c r="O62" s="44">
        <f t="shared" si="8"/>
        <v>3.1178413233507203</v>
      </c>
      <c r="P62" s="44">
        <f t="shared" si="9"/>
        <v>84.84186666666692</v>
      </c>
      <c r="Q62" s="44">
        <f t="shared" si="10"/>
        <v>18.701366642174925</v>
      </c>
    </row>
    <row r="63" spans="1:17" ht="15.75">
      <c r="A63" s="108"/>
      <c r="B63" s="108"/>
      <c r="C63" s="85" t="s">
        <v>72</v>
      </c>
      <c r="D63" s="7" t="s">
        <v>73</v>
      </c>
      <c r="E63" s="38">
        <v>20924.880000000005</v>
      </c>
      <c r="F63" s="3">
        <f>86939.9+8662.9</f>
        <v>95602.79999999999</v>
      </c>
      <c r="G63" s="3">
        <f>17892.3+1500</f>
        <v>19392.3</v>
      </c>
      <c r="H63" s="3">
        <f>9125.8+1500</f>
        <v>10625.8</v>
      </c>
      <c r="I63" s="38">
        <v>20527.95000000001</v>
      </c>
      <c r="J63" s="38">
        <v>7674.45</v>
      </c>
      <c r="K63" s="3">
        <f t="shared" si="12"/>
        <v>-396.929999999993</v>
      </c>
      <c r="L63" s="3">
        <f t="shared" si="4"/>
        <v>1135.6500000000124</v>
      </c>
      <c r="M63" s="3">
        <f t="shared" si="5"/>
        <v>-75074.84999999998</v>
      </c>
      <c r="N63" s="3">
        <f t="shared" si="6"/>
        <v>-2951.3499999999995</v>
      </c>
      <c r="O63" s="44">
        <f t="shared" si="8"/>
        <v>0.9810307155883334</v>
      </c>
      <c r="P63" s="44">
        <f t="shared" si="9"/>
        <v>1.0585619034359004</v>
      </c>
      <c r="Q63" s="44">
        <f t="shared" si="10"/>
        <v>0.21472122155418058</v>
      </c>
    </row>
    <row r="64" spans="1:17" ht="15.75">
      <c r="A64" s="108"/>
      <c r="B64" s="108"/>
      <c r="C64" s="85" t="s">
        <v>84</v>
      </c>
      <c r="D64" s="7" t="s">
        <v>85</v>
      </c>
      <c r="E64" s="38">
        <v>16762.91</v>
      </c>
      <c r="F64" s="3"/>
      <c r="G64" s="3"/>
      <c r="H64" s="3"/>
      <c r="I64" s="38">
        <v>-6132.379999999999</v>
      </c>
      <c r="J64" s="38">
        <v>-1163.7999999999997</v>
      </c>
      <c r="K64" s="3">
        <f t="shared" si="12"/>
        <v>-22895.29</v>
      </c>
      <c r="L64" s="3">
        <f t="shared" si="4"/>
        <v>-6132.379999999999</v>
      </c>
      <c r="M64" s="3">
        <f t="shared" si="5"/>
        <v>-6132.379999999999</v>
      </c>
      <c r="N64" s="3">
        <f t="shared" si="6"/>
        <v>-1163.7999999999997</v>
      </c>
      <c r="O64" s="44">
        <f aca="true" t="shared" si="13" ref="O64:O79">_xlfn.IFERROR(I64/E64,"")</f>
        <v>-0.36583027648540734</v>
      </c>
      <c r="P64" s="44">
        <f aca="true" t="shared" si="14" ref="P64:P80">_xlfn.IFERROR(I64/G64,"")</f>
      </c>
      <c r="Q64" s="44">
        <f aca="true" t="shared" si="15" ref="Q64:Q80">_xlfn.IFERROR(I64/F64,"")</f>
      </c>
    </row>
    <row r="65" spans="1:17" ht="15.75">
      <c r="A65" s="108"/>
      <c r="B65" s="108"/>
      <c r="C65" s="85" t="s">
        <v>46</v>
      </c>
      <c r="D65" s="7" t="s">
        <v>60</v>
      </c>
      <c r="E65" s="38">
        <v>7084.46</v>
      </c>
      <c r="F65" s="3">
        <v>16333.1</v>
      </c>
      <c r="G65" s="3">
        <v>1000</v>
      </c>
      <c r="H65" s="3">
        <v>350</v>
      </c>
      <c r="I65" s="38">
        <v>17550.440000000002</v>
      </c>
      <c r="J65" s="38">
        <v>8629.77</v>
      </c>
      <c r="K65" s="3">
        <f t="shared" si="12"/>
        <v>10465.980000000003</v>
      </c>
      <c r="L65" s="3">
        <f aca="true" t="shared" si="16" ref="L65:L80">I65-G65</f>
        <v>16550.440000000002</v>
      </c>
      <c r="M65" s="3">
        <f aca="true" t="shared" si="17" ref="M65:M80">I65-F65</f>
        <v>1217.340000000002</v>
      </c>
      <c r="N65" s="3">
        <f aca="true" t="shared" si="18" ref="N65:N79">J65-H65</f>
        <v>8279.77</v>
      </c>
      <c r="O65" s="44">
        <f t="shared" si="13"/>
        <v>2.477315137639284</v>
      </c>
      <c r="P65" s="44">
        <f t="shared" si="14"/>
        <v>17.550440000000002</v>
      </c>
      <c r="Q65" s="44">
        <f t="shared" si="15"/>
        <v>1.074532085152237</v>
      </c>
    </row>
    <row r="66" spans="1:17" ht="15.75">
      <c r="A66" s="110"/>
      <c r="B66" s="110"/>
      <c r="C66" s="85" t="s">
        <v>151</v>
      </c>
      <c r="D66" s="7" t="s">
        <v>150</v>
      </c>
      <c r="E66" s="38">
        <v>1632.71</v>
      </c>
      <c r="F66" s="3">
        <v>0</v>
      </c>
      <c r="G66" s="3">
        <f>H66</f>
        <v>0</v>
      </c>
      <c r="H66" s="3">
        <v>0</v>
      </c>
      <c r="I66" s="38">
        <v>288.58</v>
      </c>
      <c r="J66" s="38">
        <v>205</v>
      </c>
      <c r="K66" s="3">
        <f t="shared" si="12"/>
        <v>-1344.13</v>
      </c>
      <c r="L66" s="3">
        <f t="shared" si="16"/>
        <v>288.58</v>
      </c>
      <c r="M66" s="3">
        <f t="shared" si="17"/>
        <v>288.58</v>
      </c>
      <c r="N66" s="3">
        <f t="shared" si="18"/>
        <v>205</v>
      </c>
      <c r="O66" s="44">
        <f t="shared" si="13"/>
        <v>0.17674908587563007</v>
      </c>
      <c r="P66" s="44">
        <f t="shared" si="14"/>
      </c>
      <c r="Q66" s="44">
        <f t="shared" si="15"/>
      </c>
    </row>
    <row r="67" spans="1:17" ht="15.75">
      <c r="A67" s="108"/>
      <c r="B67" s="108"/>
      <c r="C67" s="87"/>
      <c r="D67" s="64" t="s">
        <v>86</v>
      </c>
      <c r="E67" s="29">
        <v>50742.76</v>
      </c>
      <c r="F67" s="29">
        <f>SUM(F59:F66)</f>
        <v>118804.7</v>
      </c>
      <c r="G67" s="29">
        <f>SUM(G59:G66)</f>
        <v>20616.1</v>
      </c>
      <c r="H67" s="29">
        <f>SUM(H59:H66)</f>
        <v>11034.699999999999</v>
      </c>
      <c r="I67" s="29">
        <f>SUM(I59:I66)</f>
        <v>45015.480000000054</v>
      </c>
      <c r="J67" s="29">
        <f>SUM(J59:J66)</f>
        <v>16577.55999999996</v>
      </c>
      <c r="K67" s="71">
        <f t="shared" si="12"/>
        <v>-5727.279999999948</v>
      </c>
      <c r="L67" s="71">
        <f t="shared" si="16"/>
        <v>24399.380000000056</v>
      </c>
      <c r="M67" s="71">
        <f t="shared" si="17"/>
        <v>-73789.21999999994</v>
      </c>
      <c r="N67" s="71">
        <f t="shared" si="18"/>
        <v>5542.859999999962</v>
      </c>
      <c r="O67" s="63">
        <f t="shared" si="13"/>
        <v>0.8871310902284395</v>
      </c>
      <c r="P67" s="63">
        <f t="shared" si="14"/>
        <v>2.1835109453291386</v>
      </c>
      <c r="Q67" s="63">
        <f t="shared" si="15"/>
        <v>0.3789031915404025</v>
      </c>
    </row>
    <row r="68" spans="1:19" ht="25.5" customHeight="1">
      <c r="A68" s="111" t="s">
        <v>87</v>
      </c>
      <c r="B68" s="111"/>
      <c r="C68" s="112"/>
      <c r="D68" s="111"/>
      <c r="E68" s="72">
        <f aca="true" t="shared" si="19" ref="E68:J68">E5+E22</f>
        <v>4679092.21</v>
      </c>
      <c r="F68" s="72">
        <f t="shared" si="19"/>
        <v>26089513.020000003</v>
      </c>
      <c r="G68" s="72">
        <f t="shared" si="19"/>
        <v>5001548.699999999</v>
      </c>
      <c r="H68" s="72">
        <f t="shared" si="19"/>
        <v>3401493.5999999996</v>
      </c>
      <c r="I68" s="72">
        <f t="shared" si="19"/>
        <v>3246566.9999999995</v>
      </c>
      <c r="J68" s="72">
        <f t="shared" si="19"/>
        <v>1773420.7800000003</v>
      </c>
      <c r="K68" s="73">
        <f t="shared" si="12"/>
        <v>-1432525.2100000004</v>
      </c>
      <c r="L68" s="73">
        <f t="shared" si="16"/>
        <v>-1754981.6999999997</v>
      </c>
      <c r="M68" s="73">
        <f t="shared" si="17"/>
        <v>-22842946.020000003</v>
      </c>
      <c r="N68" s="73">
        <f t="shared" si="18"/>
        <v>-1628072.8199999994</v>
      </c>
      <c r="O68" s="74">
        <f t="shared" si="13"/>
        <v>0.6938454841863438</v>
      </c>
      <c r="P68" s="74">
        <f t="shared" si="14"/>
        <v>0.6491123439425872</v>
      </c>
      <c r="Q68" s="74">
        <f t="shared" si="15"/>
        <v>0.12443954003707192</v>
      </c>
      <c r="S68" s="82"/>
    </row>
    <row r="69" spans="1:17" ht="15.75" hidden="1">
      <c r="A69" s="103" t="s">
        <v>106</v>
      </c>
      <c r="B69" s="104"/>
      <c r="C69" s="104"/>
      <c r="D69" s="105"/>
      <c r="E69" s="72">
        <v>3770698.64</v>
      </c>
      <c r="F69" s="72">
        <f>F68-F51-F49-F50</f>
        <v>21652001.820000004</v>
      </c>
      <c r="G69" s="72">
        <f>H69</f>
        <v>3041156.3</v>
      </c>
      <c r="H69" s="72">
        <f>H68-H51-H49-H50</f>
        <v>3041156.3</v>
      </c>
      <c r="I69" s="72">
        <f>I68-I51-I49-I50</f>
        <v>2218449.4499999993</v>
      </c>
      <c r="J69" s="72">
        <f>J68-J51-J49-J50</f>
        <v>1455207.6400000001</v>
      </c>
      <c r="K69" s="72">
        <f t="shared" si="12"/>
        <v>-1552249.1900000009</v>
      </c>
      <c r="L69" s="72">
        <f t="shared" si="16"/>
        <v>-822706.8500000006</v>
      </c>
      <c r="M69" s="72">
        <f t="shared" si="17"/>
        <v>-19433552.370000005</v>
      </c>
      <c r="N69" s="72">
        <f t="shared" si="18"/>
        <v>-1585948.6599999997</v>
      </c>
      <c r="O69" s="83">
        <f t="shared" si="13"/>
        <v>0.588339101530532</v>
      </c>
      <c r="P69" s="83">
        <f t="shared" si="14"/>
        <v>0.7294756438529646</v>
      </c>
      <c r="Q69" s="83">
        <f t="shared" si="15"/>
        <v>0.10245932308904632</v>
      </c>
    </row>
    <row r="70" spans="1:17" ht="33" customHeight="1">
      <c r="A70" s="113"/>
      <c r="B70" s="115"/>
      <c r="C70" s="85"/>
      <c r="D70" s="56" t="s">
        <v>88</v>
      </c>
      <c r="E70" s="53">
        <f aca="true" t="shared" si="20" ref="E70:J70">SUM(E71:E78)</f>
        <v>2913135.010000001</v>
      </c>
      <c r="F70" s="53">
        <f t="shared" si="20"/>
        <v>23927644.140000004</v>
      </c>
      <c r="G70" s="53">
        <f t="shared" si="20"/>
        <v>4194166.04</v>
      </c>
      <c r="H70" s="53">
        <f t="shared" si="20"/>
        <v>1272394.8600000003</v>
      </c>
      <c r="I70" s="53">
        <f t="shared" si="20"/>
        <v>3750830.3</v>
      </c>
      <c r="J70" s="53">
        <f t="shared" si="20"/>
        <v>1623926.6800000002</v>
      </c>
      <c r="K70" s="57">
        <f t="shared" si="12"/>
        <v>837695.2899999986</v>
      </c>
      <c r="L70" s="57">
        <f t="shared" si="16"/>
        <v>-443335.7400000002</v>
      </c>
      <c r="M70" s="57">
        <f t="shared" si="17"/>
        <v>-20176813.840000004</v>
      </c>
      <c r="N70" s="57">
        <f t="shared" si="18"/>
        <v>351531.81999999983</v>
      </c>
      <c r="O70" s="58">
        <f t="shared" si="13"/>
        <v>1.2875580043919757</v>
      </c>
      <c r="P70" s="58">
        <f t="shared" si="14"/>
        <v>0.8942970459986843</v>
      </c>
      <c r="Q70" s="58">
        <f t="shared" si="15"/>
        <v>0.15675719172577093</v>
      </c>
    </row>
    <row r="71" spans="1:17" ht="31.5">
      <c r="A71" s="113"/>
      <c r="B71" s="115"/>
      <c r="C71" s="85" t="s">
        <v>126</v>
      </c>
      <c r="D71" s="19" t="s">
        <v>89</v>
      </c>
      <c r="E71" s="38">
        <v>79902.6</v>
      </c>
      <c r="F71" s="19">
        <v>384548</v>
      </c>
      <c r="G71" s="3">
        <f>289880</f>
        <v>289880</v>
      </c>
      <c r="H71" s="3">
        <f>31556</f>
        <v>31556</v>
      </c>
      <c r="I71" s="17">
        <v>258324</v>
      </c>
      <c r="J71" s="17">
        <v>0</v>
      </c>
      <c r="K71" s="3">
        <f aca="true" t="shared" si="21" ref="K71:K76">I71-E71</f>
        <v>178421.4</v>
      </c>
      <c r="L71" s="3">
        <f>I71-G71</f>
        <v>-31556</v>
      </c>
      <c r="M71" s="3">
        <f>I71-F71</f>
        <v>-126224</v>
      </c>
      <c r="N71" s="3">
        <f>J71-H71</f>
        <v>-31556</v>
      </c>
      <c r="O71" s="45">
        <f t="shared" si="13"/>
        <v>3.232986160650592</v>
      </c>
      <c r="P71" s="45">
        <f t="shared" si="14"/>
        <v>0.8911411618600801</v>
      </c>
      <c r="Q71" s="45">
        <f t="shared" si="15"/>
        <v>0.6717600923681829</v>
      </c>
    </row>
    <row r="72" spans="1:17" ht="31.5">
      <c r="A72" s="113"/>
      <c r="B72" s="115"/>
      <c r="C72" s="85" t="s">
        <v>127</v>
      </c>
      <c r="D72" s="20" t="s">
        <v>90</v>
      </c>
      <c r="E72" s="38">
        <v>239037.58000000002</v>
      </c>
      <c r="F72" s="19">
        <v>6299218.66</v>
      </c>
      <c r="G72" s="3">
        <v>269317.1400000001</v>
      </c>
      <c r="H72" s="38">
        <v>155827.99000000002</v>
      </c>
      <c r="I72" s="17">
        <v>269317.1400000001</v>
      </c>
      <c r="J72" s="17">
        <v>155827.99000000002</v>
      </c>
      <c r="K72" s="3">
        <f t="shared" si="21"/>
        <v>30279.560000000056</v>
      </c>
      <c r="L72" s="3">
        <f>I72-G72</f>
        <v>0</v>
      </c>
      <c r="M72" s="3">
        <f>I72-F72</f>
        <v>-6029901.5200000005</v>
      </c>
      <c r="N72" s="3">
        <f>J72-H72</f>
        <v>0</v>
      </c>
      <c r="O72" s="45">
        <f t="shared" si="13"/>
        <v>1.1266728018247174</v>
      </c>
      <c r="P72" s="45">
        <f t="shared" si="14"/>
        <v>1</v>
      </c>
      <c r="Q72" s="45">
        <f t="shared" si="15"/>
        <v>0.0427540548338419</v>
      </c>
    </row>
    <row r="73" spans="1:17" ht="31.5">
      <c r="A73" s="113"/>
      <c r="B73" s="115"/>
      <c r="C73" s="85" t="s">
        <v>128</v>
      </c>
      <c r="D73" s="20" t="s">
        <v>91</v>
      </c>
      <c r="E73" s="38">
        <v>2025000.1500000004</v>
      </c>
      <c r="F73" s="19">
        <v>11742215.65</v>
      </c>
      <c r="G73" s="3">
        <v>2416061.04</v>
      </c>
      <c r="H73" s="38">
        <v>902026.7000000001</v>
      </c>
      <c r="I73" s="17">
        <v>2125278.3899999997</v>
      </c>
      <c r="J73" s="17">
        <v>902026.7000000001</v>
      </c>
      <c r="K73" s="3">
        <f t="shared" si="21"/>
        <v>100278.23999999929</v>
      </c>
      <c r="L73" s="3">
        <f>I73-G73</f>
        <v>-290782.6500000004</v>
      </c>
      <c r="M73" s="3">
        <f t="shared" si="17"/>
        <v>-9616937.260000002</v>
      </c>
      <c r="N73" s="3">
        <f>J73-H73</f>
        <v>0</v>
      </c>
      <c r="O73" s="45">
        <f t="shared" si="13"/>
        <v>1.0495201148503615</v>
      </c>
      <c r="P73" s="45">
        <f t="shared" si="14"/>
        <v>0.8796459836130629</v>
      </c>
      <c r="Q73" s="45">
        <f t="shared" si="15"/>
        <v>0.18099466517632892</v>
      </c>
    </row>
    <row r="74" spans="1:17" ht="15.75">
      <c r="A74" s="113"/>
      <c r="B74" s="115"/>
      <c r="C74" s="85" t="s">
        <v>129</v>
      </c>
      <c r="D74" s="9" t="s">
        <v>92</v>
      </c>
      <c r="E74" s="38">
        <v>583143.16</v>
      </c>
      <c r="F74" s="19">
        <v>5493654.96</v>
      </c>
      <c r="G74" s="3">
        <v>1210900.99</v>
      </c>
      <c r="H74" s="3">
        <v>174977.3</v>
      </c>
      <c r="I74" s="38">
        <v>1210900.99</v>
      </c>
      <c r="J74" s="38">
        <v>174977.3</v>
      </c>
      <c r="K74" s="3">
        <f t="shared" si="21"/>
        <v>627757.83</v>
      </c>
      <c r="L74" s="3">
        <f>I74-G74</f>
        <v>0</v>
      </c>
      <c r="M74" s="3">
        <f t="shared" si="17"/>
        <v>-4282753.97</v>
      </c>
      <c r="N74" s="3">
        <f t="shared" si="18"/>
        <v>0</v>
      </c>
      <c r="O74" s="45">
        <f t="shared" si="13"/>
        <v>2.076507233661113</v>
      </c>
      <c r="P74" s="45">
        <f t="shared" si="14"/>
        <v>1</v>
      </c>
      <c r="Q74" s="45">
        <f t="shared" si="15"/>
        <v>0.22041810030238956</v>
      </c>
    </row>
    <row r="75" spans="1:17" ht="47.25">
      <c r="A75" s="114"/>
      <c r="B75" s="116"/>
      <c r="C75" s="85" t="s">
        <v>125</v>
      </c>
      <c r="D75" s="9" t="s">
        <v>124</v>
      </c>
      <c r="E75" s="38">
        <v>4.06</v>
      </c>
      <c r="F75" s="3"/>
      <c r="G75" s="3">
        <f>H75</f>
        <v>0</v>
      </c>
      <c r="H75" s="3"/>
      <c r="I75" s="38">
        <v>387.89</v>
      </c>
      <c r="J75" s="38">
        <v>0</v>
      </c>
      <c r="K75" s="3">
        <f t="shared" si="21"/>
        <v>383.83</v>
      </c>
      <c r="L75" s="3">
        <f>I75-G75</f>
        <v>387.89</v>
      </c>
      <c r="M75" s="3">
        <f t="shared" si="17"/>
        <v>387.89</v>
      </c>
      <c r="N75" s="3">
        <f t="shared" si="18"/>
        <v>0</v>
      </c>
      <c r="O75" s="46">
        <f t="shared" si="13"/>
        <v>95.53940886699507</v>
      </c>
      <c r="P75" s="46">
        <f t="shared" si="14"/>
      </c>
      <c r="Q75" s="46">
        <f t="shared" si="15"/>
      </c>
    </row>
    <row r="76" spans="1:17" ht="31.5">
      <c r="A76" s="113"/>
      <c r="B76" s="115"/>
      <c r="C76" s="85" t="s">
        <v>93</v>
      </c>
      <c r="D76" s="32" t="s">
        <v>94</v>
      </c>
      <c r="E76" s="38">
        <v>0</v>
      </c>
      <c r="F76" s="3"/>
      <c r="G76" s="3"/>
      <c r="H76" s="3"/>
      <c r="I76" s="38">
        <v>85</v>
      </c>
      <c r="J76" s="38">
        <v>85</v>
      </c>
      <c r="K76" s="3">
        <f t="shared" si="21"/>
        <v>85</v>
      </c>
      <c r="L76" s="3">
        <f>I76-G76</f>
        <v>85</v>
      </c>
      <c r="M76" s="3">
        <f>I76-F76</f>
        <v>85</v>
      </c>
      <c r="N76" s="3">
        <f t="shared" si="18"/>
        <v>85</v>
      </c>
      <c r="O76" s="45">
        <f t="shared" si="13"/>
      </c>
      <c r="P76" s="45">
        <f t="shared" si="14"/>
      </c>
      <c r="Q76" s="45">
        <f t="shared" si="15"/>
      </c>
    </row>
    <row r="77" spans="1:17" ht="47.25">
      <c r="A77" s="113"/>
      <c r="B77" s="115"/>
      <c r="C77" s="85" t="s">
        <v>95</v>
      </c>
      <c r="D77" s="7" t="s">
        <v>96</v>
      </c>
      <c r="E77" s="38">
        <v>322845.78</v>
      </c>
      <c r="F77" s="5">
        <v>8006.87</v>
      </c>
      <c r="G77" s="5">
        <v>8006.87</v>
      </c>
      <c r="H77" s="5">
        <v>8006.87</v>
      </c>
      <c r="I77" s="38">
        <v>159752.47000000003</v>
      </c>
      <c r="J77" s="38">
        <v>-2775.23</v>
      </c>
      <c r="K77" s="3">
        <f t="shared" si="12"/>
        <v>-163093.31</v>
      </c>
      <c r="L77" s="3">
        <f t="shared" si="16"/>
        <v>151745.60000000003</v>
      </c>
      <c r="M77" s="3">
        <f t="shared" si="17"/>
        <v>151745.60000000003</v>
      </c>
      <c r="N77" s="3">
        <f t="shared" si="18"/>
        <v>-10782.1</v>
      </c>
      <c r="O77" s="45">
        <f t="shared" si="13"/>
        <v>0.4948259506442984</v>
      </c>
      <c r="P77" s="45">
        <f t="shared" si="14"/>
        <v>19.951925034376732</v>
      </c>
      <c r="Q77" s="45">
        <f t="shared" si="15"/>
        <v>19.951925034376732</v>
      </c>
    </row>
    <row r="78" spans="1:17" ht="15.75">
      <c r="A78" s="113"/>
      <c r="B78" s="115"/>
      <c r="C78" s="85" t="s">
        <v>97</v>
      </c>
      <c r="D78" s="7" t="s">
        <v>98</v>
      </c>
      <c r="E78" s="38">
        <v>-336798.31999999995</v>
      </c>
      <c r="F78" s="3"/>
      <c r="G78" s="3"/>
      <c r="H78" s="3"/>
      <c r="I78" s="38">
        <v>-273215.58</v>
      </c>
      <c r="J78" s="38">
        <v>393784.92000000004</v>
      </c>
      <c r="K78" s="3">
        <f t="shared" si="12"/>
        <v>63582.73999999993</v>
      </c>
      <c r="L78" s="3">
        <f t="shared" si="16"/>
        <v>-273215.58</v>
      </c>
      <c r="M78" s="3">
        <f t="shared" si="17"/>
        <v>-273215.58</v>
      </c>
      <c r="N78" s="3">
        <f t="shared" si="18"/>
        <v>393784.92000000004</v>
      </c>
      <c r="O78" s="45">
        <f t="shared" si="13"/>
        <v>0.8112142008309307</v>
      </c>
      <c r="P78" s="45">
        <f t="shared" si="14"/>
      </c>
      <c r="Q78" s="45">
        <f t="shared" si="15"/>
      </c>
    </row>
    <row r="79" spans="1:17" ht="29.25" customHeight="1">
      <c r="A79" s="106" t="s">
        <v>99</v>
      </c>
      <c r="B79" s="106"/>
      <c r="C79" s="107"/>
      <c r="D79" s="106"/>
      <c r="E79" s="75">
        <f aca="true" t="shared" si="22" ref="E79:J79">E68+E70</f>
        <v>7592227.220000001</v>
      </c>
      <c r="F79" s="75">
        <f t="shared" si="22"/>
        <v>50017157.16000001</v>
      </c>
      <c r="G79" s="75">
        <f t="shared" si="22"/>
        <v>9195714.739999998</v>
      </c>
      <c r="H79" s="75">
        <f t="shared" si="22"/>
        <v>4673888.46</v>
      </c>
      <c r="I79" s="75">
        <f t="shared" si="22"/>
        <v>6997397.299999999</v>
      </c>
      <c r="J79" s="75">
        <f t="shared" si="22"/>
        <v>3397347.4600000004</v>
      </c>
      <c r="K79" s="48">
        <f t="shared" si="12"/>
        <v>-594829.9200000018</v>
      </c>
      <c r="L79" s="48">
        <f t="shared" si="16"/>
        <v>-2198317.4399999995</v>
      </c>
      <c r="M79" s="48">
        <f t="shared" si="17"/>
        <v>-43019759.860000014</v>
      </c>
      <c r="N79" s="48">
        <f t="shared" si="18"/>
        <v>-1276540.9999999995</v>
      </c>
      <c r="O79" s="74">
        <f t="shared" si="13"/>
        <v>0.9216527768777708</v>
      </c>
      <c r="P79" s="74">
        <f t="shared" si="14"/>
        <v>0.7609411011372891</v>
      </c>
      <c r="Q79" s="74">
        <f t="shared" si="15"/>
        <v>0.13989994028681013</v>
      </c>
    </row>
    <row r="80" spans="1:17" ht="15.75" customHeight="1" hidden="1">
      <c r="A80" s="103" t="s">
        <v>106</v>
      </c>
      <c r="B80" s="104"/>
      <c r="C80" s="104"/>
      <c r="D80" s="105"/>
      <c r="E80" s="48">
        <v>6683833.650000001</v>
      </c>
      <c r="F80" s="48">
        <f>F79-F51-F50-F49</f>
        <v>45579645.96000001</v>
      </c>
      <c r="G80" s="48">
        <f>H80</f>
        <v>4313551.16</v>
      </c>
      <c r="H80" s="48">
        <f>H79-H51-H50-H49</f>
        <v>4313551.16</v>
      </c>
      <c r="I80" s="48">
        <f>I79-I51-I50-I49</f>
        <v>5969279.749999999</v>
      </c>
      <c r="J80" s="48">
        <f>J79-J51-J50-J49</f>
        <v>3079134.3200000008</v>
      </c>
      <c r="K80" s="48">
        <f t="shared" si="12"/>
        <v>-714553.9000000022</v>
      </c>
      <c r="L80" s="48">
        <f t="shared" si="16"/>
        <v>1655728.589999999</v>
      </c>
      <c r="M80" s="48">
        <f t="shared" si="17"/>
        <v>-39610366.21000001</v>
      </c>
      <c r="N80" s="48">
        <f>I80-H80</f>
        <v>1655728.589999999</v>
      </c>
      <c r="O80" s="83">
        <f>I80/E80</f>
        <v>0.893092207643438</v>
      </c>
      <c r="P80" s="83">
        <f t="shared" si="14"/>
        <v>1.3838435035507957</v>
      </c>
      <c r="Q80" s="46">
        <f t="shared" si="15"/>
        <v>0.13096371470806392</v>
      </c>
    </row>
    <row r="81" spans="1:17" ht="15.75">
      <c r="A81" s="21" t="s">
        <v>100</v>
      </c>
      <c r="B81" s="22"/>
      <c r="C81" s="96"/>
      <c r="D81" s="103"/>
      <c r="E81" s="104"/>
      <c r="F81" s="104"/>
      <c r="G81" s="105"/>
      <c r="H81" s="23"/>
      <c r="I81" s="23"/>
      <c r="J81" s="23"/>
      <c r="K81" s="23"/>
      <c r="L81" s="23"/>
      <c r="M81" s="23"/>
      <c r="N81" s="23"/>
      <c r="O81" s="24"/>
      <c r="P81" s="25"/>
      <c r="Q81" s="24"/>
    </row>
    <row r="82" ht="12.75">
      <c r="E82" s="76"/>
    </row>
  </sheetData>
  <sheetProtection/>
  <autoFilter ref="A4:Q82"/>
  <mergeCells count="39">
    <mergeCell ref="A27:A29"/>
    <mergeCell ref="B27:B29"/>
    <mergeCell ref="I3:J3"/>
    <mergeCell ref="K3:N3"/>
    <mergeCell ref="O3:O4"/>
    <mergeCell ref="A23:A26"/>
    <mergeCell ref="B23:B26"/>
    <mergeCell ref="A6:A17"/>
    <mergeCell ref="A22:C22"/>
    <mergeCell ref="A57:A58"/>
    <mergeCell ref="B57:B58"/>
    <mergeCell ref="A30:A37"/>
    <mergeCell ref="B30:B37"/>
    <mergeCell ref="A38:A46"/>
    <mergeCell ref="B38:B46"/>
    <mergeCell ref="A47:A48"/>
    <mergeCell ref="B47:B48"/>
    <mergeCell ref="A49:A53"/>
    <mergeCell ref="B49:B53"/>
    <mergeCell ref="A54:A56"/>
    <mergeCell ref="B54:B56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D81:G81"/>
    <mergeCell ref="A79:D79"/>
    <mergeCell ref="A80:D80"/>
    <mergeCell ref="A59:A67"/>
    <mergeCell ref="B59:B67"/>
    <mergeCell ref="A68:D68"/>
    <mergeCell ref="A69:D69"/>
    <mergeCell ref="A70:A78"/>
    <mergeCell ref="B70:B78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2023-03-27T04:30:36Z</cp:lastPrinted>
  <dcterms:created xsi:type="dcterms:W3CDTF">2015-02-26T11:08:47Z</dcterms:created>
  <dcterms:modified xsi:type="dcterms:W3CDTF">2023-03-27T04:33:29Z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