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01.04.2023" sheetId="1" r:id="rId1"/>
  </sheets>
  <definedNames>
    <definedName name="_xlfn.IFERROR" hidden="1">#NAME?</definedName>
    <definedName name="_xlnm._FilterDatabase" localSheetId="0" hidden="1">'01.04.2023'!$A$4:$P$80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'01.04.2023'!$3:$4</definedName>
    <definedName name="о">#REF!</definedName>
    <definedName name="_xlnm.Print_Area" localSheetId="0">'01.04.2023'!$A$1:$P$79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<sst xmlns="http://schemas.openxmlformats.org/spreadsheetml/2006/main" count="129" uniqueCount="104">
  <si>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</si>
  <si>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</si>
  <si>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</si>
  <si>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</si>
  <si>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</si>
  <si>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</si>
  <si>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</si>
  <si>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</si>
  <si>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</si>
  <si>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</si>
  <si>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</si>
  <si>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</si>
  <si>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</si>
  <si>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</si>
  <si>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</si>
  <si>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</si>
  <si>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</si>
  <si>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</si>
  <si>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</si>
  <si>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</si>
  <si>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</si>
  <si>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</si>
  <si>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</si>
  <si>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</si>
  <si>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</si>
  <si>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</si>
  <si>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</si>
  <si>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</si>
  <si>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</si>
  <si>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</si>
  <si>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</si>
  <si>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</si>
  <si>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</si>
  <si>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</si>
  <si>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</si>
  <si>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</si>
  <si>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</si>
  <si>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</si>
  <si>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</si>
  <si>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</si>
  <si>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</si>
  <si>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</si>
  <si>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</si>
  <si>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</si>
  <si>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</si>
  <si>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</si>
  <si>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</si>
  <si>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</si>
  <si>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</si>
  <si>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</si>
  <si>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</si>
  <si>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</si>
  <si>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</si>
  <si>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</si>
  <si>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</si>
  <si>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</si>
  <si>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</si>
  <si>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</si>
  <si>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</si>
  <si>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</si>
  <si>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</si>
  <si>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</si>
  <si>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</si>
  <si>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</si>
  <si>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</si>
  <si>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</si>
  <si>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</si>
  <si>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</si>
  <si>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</si>
  <si>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</si>
  <si>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</si>
  <si>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</si>
  <si>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</si>
  <si>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</si>
  <si>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</si>
  <si>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</si>
  <si>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</si>
  <si>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</si>
  <si>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</si>
  <si>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</si>
  <si>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</si>
  <si>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</si>
  <si>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</si>
  <si>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</si>
  <si>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</si>
  <si>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</si>
  <si>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</si>
  <si>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</si>
  <si>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</si>
  <si>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</si>
  <si>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</si>
  <si>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</si>
  <si>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</si>
  <si>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</si>
  <si>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</si>
  <si>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</si>
  <si>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</si>
  <si>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</si>
  <si>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</si>
  <si>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январь-март</t>
  </si>
  <si>
    <t>март</t>
  </si>
  <si>
    <t>факта за март от плана марта</t>
  </si>
  <si>
    <t>Факт с нач. 2022 года      (по 31.03.22 вкл.)</t>
  </si>
  <si>
    <t>с нач. года на 01.04.2023 (по 31. вкл.)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</si>
</sst>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</numFmts>
  <fonts count="41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38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7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wrapText="1"/>
    </xf>
    <xf numFmtId="164" fontId="6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9" fontId="4" fillId="0" borderId="11" xfId="138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13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72" xfId="128"/>
    <cellStyle name="Обычный 73" xfId="129"/>
    <cellStyle name="Обычный 73 2" xfId="130"/>
    <cellStyle name="Обычный 74" xfId="131"/>
    <cellStyle name="Обычный 8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Связанная ячейка" xfId="140"/>
    <cellStyle name="Текст предупреждения" xfId="141"/>
    <cellStyle name="Comma" xfId="142"/>
    <cellStyle name="Comma [0]" xfId="143"/>
    <cellStyle name="Финансовый 2" xfId="144"/>
    <cellStyle name="Финансовый 3" xfId="145"/>
    <cellStyle name="Хороший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zoomScale="89" zoomScaleNormal="89" zoomScalePageLayoutView="0" workbookViewId="0" topLeftCell="A1">
      <pane xSplit="3" ySplit="4" topLeftCell="D6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11" sqref="Q11"/>
    </sheetView>
  </sheetViews>
  <sheetFormatPr defaultColWidth="9.00390625" defaultRowHeight="12.75"/>
  <cols>
    <col min="1" max="2" width="9.125" style="66" customWidth="1"/>
    <col min="3" max="3" width="55.25390625" style="66" customWidth="1"/>
    <col min="4" max="4" width="14.625" style="25" customWidth="1"/>
    <col min="5" max="5" width="15.625" style="66" customWidth="1"/>
    <col min="6" max="7" width="13.00390625" style="66" customWidth="1"/>
    <col min="8" max="8" width="16.25390625" style="66" customWidth="1"/>
    <col min="9" max="9" width="13.875" style="66" customWidth="1"/>
    <col min="10" max="10" width="15.125" style="66" customWidth="1"/>
    <col min="11" max="11" width="14.375" style="66" customWidth="1"/>
    <col min="12" max="12" width="15.625" style="66" customWidth="1"/>
    <col min="13" max="13" width="13.75390625" style="66" customWidth="1"/>
    <col min="14" max="14" width="10.875" style="66" customWidth="1"/>
    <col min="15" max="15" width="10.125" style="66" customWidth="1"/>
    <col min="16" max="16" width="9.25390625" style="66" customWidth="1"/>
    <col min="17" max="17" width="9.125" style="66" customWidth="1"/>
    <col min="18" max="18" width="16.625" style="66" customWidth="1"/>
    <col min="19" max="19" width="9.125" style="66" customWidth="1"/>
    <col min="20" max="20" width="15.75390625" style="66" customWidth="1"/>
    <col min="21" max="16384" width="9.125" style="66" customWidth="1"/>
  </cols>
  <sheetData>
    <row r="1" spans="1:16" ht="20.25">
      <c r="A1" s="121" t="s">
        <v>85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20.25" customHeight="1">
      <c r="A2" s="31"/>
      <c r="B2" s="32"/>
      <c r="C2" s="29"/>
      <c r="D2" s="28"/>
      <c r="E2" s="29"/>
      <c r="F2" s="29"/>
      <c r="G2" s="34"/>
      <c r="H2" s="34"/>
      <c r="I2" s="34"/>
      <c r="J2" s="29"/>
      <c r="K2" s="29"/>
      <c r="L2" s="29"/>
      <c r="M2" s="29"/>
      <c r="N2" s="29"/>
      <c r="O2" s="27"/>
      <c r="P2" s="27" t="s">
        <v>0</v>
      </c>
    </row>
    <row r="3" spans="1:16" ht="20.25" customHeight="1">
      <c r="A3" s="122" t="s">
        <v>1</v>
      </c>
      <c r="B3" s="123" t="s">
        <v>2</v>
      </c>
      <c r="C3" s="124" t="s">
        <v>3</v>
      </c>
      <c r="D3" s="126" t="s">
        <v>102</v>
      </c>
      <c r="E3" s="99" t="s">
        <v>84</v>
      </c>
      <c r="F3" s="101"/>
      <c r="G3" s="100"/>
      <c r="H3" s="99" t="s">
        <v>86</v>
      </c>
      <c r="I3" s="100"/>
      <c r="J3" s="99" t="s">
        <v>4</v>
      </c>
      <c r="K3" s="101"/>
      <c r="L3" s="101"/>
      <c r="M3" s="100"/>
      <c r="N3" s="102" t="s">
        <v>98</v>
      </c>
      <c r="O3" s="128" t="s">
        <v>96</v>
      </c>
      <c r="P3" s="102" t="s">
        <v>97</v>
      </c>
    </row>
    <row r="4" spans="1:16" ht="63">
      <c r="A4" s="122"/>
      <c r="B4" s="123"/>
      <c r="C4" s="125"/>
      <c r="D4" s="127"/>
      <c r="E4" s="1" t="s">
        <v>82</v>
      </c>
      <c r="F4" s="1" t="s">
        <v>99</v>
      </c>
      <c r="G4" s="1" t="s">
        <v>100</v>
      </c>
      <c r="H4" s="50" t="s">
        <v>103</v>
      </c>
      <c r="I4" s="1" t="s">
        <v>100</v>
      </c>
      <c r="J4" s="1" t="s">
        <v>87</v>
      </c>
      <c r="K4" s="1" t="s">
        <v>5</v>
      </c>
      <c r="L4" s="1" t="s">
        <v>88</v>
      </c>
      <c r="M4" s="1" t="s">
        <v>101</v>
      </c>
      <c r="N4" s="102"/>
      <c r="O4" s="128"/>
      <c r="P4" s="102"/>
    </row>
    <row r="5" spans="1:18" ht="29.25" customHeight="1">
      <c r="A5" s="82"/>
      <c r="B5" s="83"/>
      <c r="C5" s="84" t="s">
        <v>6</v>
      </c>
      <c r="D5" s="81">
        <f>D17+D19+D21+D18+D20</f>
        <v>3555495.539999999</v>
      </c>
      <c r="E5" s="51">
        <f>E17+E19+E21+E18+E20</f>
        <v>20002935.000000004</v>
      </c>
      <c r="F5" s="51">
        <f>F17+F19+F21+F18+F20</f>
        <v>3637018.9999999995</v>
      </c>
      <c r="G5" s="51">
        <f>G17+G19+G21+G18+G20</f>
        <v>2805101.6999999997</v>
      </c>
      <c r="H5" s="51">
        <f>H17+H19+H21+H18+H20</f>
        <v>2633227.17</v>
      </c>
      <c r="I5" s="51">
        <f>I17+I19+I21+I18+I20</f>
        <v>2246672.3000000007</v>
      </c>
      <c r="J5" s="85">
        <f>H5-D5</f>
        <v>-922268.3699999992</v>
      </c>
      <c r="K5" s="85">
        <f>H5-F5</f>
        <v>-1003791.8299999996</v>
      </c>
      <c r="L5" s="85">
        <f>H5-E5</f>
        <v>-17369707.830000006</v>
      </c>
      <c r="M5" s="85">
        <f>I5-G5</f>
        <v>-558429.399999999</v>
      </c>
      <c r="N5" s="52">
        <f aca="true" t="shared" si="0" ref="N5:N36">_xlfn.IFERROR(H5/D5,"")</f>
        <v>0.7406076425566267</v>
      </c>
      <c r="O5" s="52">
        <f aca="true" t="shared" si="1" ref="O5:O36">_xlfn.IFERROR(H5/F5,"")</f>
        <v>0.7240069875906615</v>
      </c>
      <c r="P5" s="52">
        <f aca="true" t="shared" si="2" ref="P5:P36">_xlfn.IFERROR(H5/E5,"")</f>
        <v>0.1316420400306255</v>
      </c>
      <c r="R5" s="78"/>
    </row>
    <row r="6" spans="1:21" ht="15.75">
      <c r="A6" s="109" t="s">
        <v>10</v>
      </c>
      <c r="B6" s="74" t="s">
        <v>11</v>
      </c>
      <c r="C6" s="4" t="s">
        <v>12</v>
      </c>
      <c r="D6" s="36">
        <v>2699036.869999999</v>
      </c>
      <c r="E6" s="5">
        <f>14235121.9+613644.6</f>
        <v>14848766.5</v>
      </c>
      <c r="F6" s="5">
        <v>2796612.3</v>
      </c>
      <c r="G6" s="5">
        <v>2055445</v>
      </c>
      <c r="H6" s="86">
        <v>1996386.5899999999</v>
      </c>
      <c r="I6" s="86">
        <v>1609020.82</v>
      </c>
      <c r="J6" s="5">
        <f aca="true" t="shared" si="3" ref="J6:J57">H6-D6</f>
        <v>-702650.2799999993</v>
      </c>
      <c r="K6" s="5">
        <f aca="true" t="shared" si="4" ref="K6:K64">H6-F6</f>
        <v>-800225.71</v>
      </c>
      <c r="L6" s="5">
        <f aca="true" t="shared" si="5" ref="L6:L64">H6-E6</f>
        <v>-12852379.91</v>
      </c>
      <c r="M6" s="5">
        <f>I6-G6</f>
        <v>-446424.17999999993</v>
      </c>
      <c r="N6" s="44">
        <f t="shared" si="0"/>
        <v>0.7396662906646401</v>
      </c>
      <c r="O6" s="44">
        <f t="shared" si="1"/>
        <v>0.7138589035026414</v>
      </c>
      <c r="P6" s="44">
        <f t="shared" si="2"/>
        <v>0.1344479751903971</v>
      </c>
      <c r="U6" s="78"/>
    </row>
    <row r="7" spans="1:21" ht="15.75">
      <c r="A7" s="104"/>
      <c r="B7" s="74" t="s">
        <v>7</v>
      </c>
      <c r="C7" s="2" t="s">
        <v>8</v>
      </c>
      <c r="D7" s="35">
        <v>16786.590000000004</v>
      </c>
      <c r="E7" s="3">
        <v>80057.5</v>
      </c>
      <c r="F7" s="3">
        <v>17850</v>
      </c>
      <c r="G7" s="3">
        <v>11430</v>
      </c>
      <c r="H7" s="87">
        <v>18429.57</v>
      </c>
      <c r="I7" s="87">
        <v>9714.5</v>
      </c>
      <c r="J7" s="3">
        <f>H7-D7</f>
        <v>1642.979999999996</v>
      </c>
      <c r="K7" s="3">
        <f>H7-F7</f>
        <v>579.5699999999997</v>
      </c>
      <c r="L7" s="3">
        <f>H7-E7</f>
        <v>-61627.93</v>
      </c>
      <c r="M7" s="3">
        <f>I7-G7</f>
        <v>-1715.5</v>
      </c>
      <c r="N7" s="44">
        <f t="shared" si="0"/>
        <v>1.0978745534381906</v>
      </c>
      <c r="O7" s="44">
        <f t="shared" si="1"/>
        <v>1.0324689075630251</v>
      </c>
      <c r="P7" s="44">
        <f t="shared" si="2"/>
        <v>0.23020416575586297</v>
      </c>
      <c r="U7" s="78"/>
    </row>
    <row r="8" spans="1:21" ht="15.75">
      <c r="A8" s="104"/>
      <c r="B8" s="74" t="s">
        <v>11</v>
      </c>
      <c r="C8" s="37" t="s">
        <v>89</v>
      </c>
      <c r="D8" s="36"/>
      <c r="E8" s="36">
        <v>1204375.9</v>
      </c>
      <c r="F8" s="36">
        <v>218966.3</v>
      </c>
      <c r="G8" s="36">
        <v>218966.3</v>
      </c>
      <c r="H8" s="86">
        <v>159669.84000000003</v>
      </c>
      <c r="I8" s="86">
        <v>163181.38</v>
      </c>
      <c r="J8" s="5">
        <f>H8-D8</f>
        <v>159669.84000000003</v>
      </c>
      <c r="K8" s="5">
        <f>H8-F8</f>
        <v>-59296.45999999996</v>
      </c>
      <c r="L8" s="5">
        <f>H8-E8</f>
        <v>-1044706.0599999998</v>
      </c>
      <c r="M8" s="5">
        <f aca="true" t="shared" si="6" ref="M8:M64">I8-G8</f>
        <v>-55784.919999999984</v>
      </c>
      <c r="N8" s="44">
        <f t="shared" si="0"/>
      </c>
      <c r="O8" s="44">
        <f t="shared" si="1"/>
        <v>0.7291982373543328</v>
      </c>
      <c r="P8" s="44">
        <f t="shared" si="2"/>
        <v>0.1325747551076039</v>
      </c>
      <c r="U8" s="78"/>
    </row>
    <row r="9" spans="1:21" ht="15.75">
      <c r="A9" s="104"/>
      <c r="B9" s="74" t="s">
        <v>11</v>
      </c>
      <c r="C9" s="4" t="s">
        <v>13</v>
      </c>
      <c r="D9" s="36">
        <v>1538.5200000000002</v>
      </c>
      <c r="E9" s="5"/>
      <c r="F9" s="5"/>
      <c r="G9" s="5"/>
      <c r="H9" s="87">
        <v>-3643.4100000000003</v>
      </c>
      <c r="I9" s="87">
        <v>319.09</v>
      </c>
      <c r="J9" s="5">
        <f t="shared" si="3"/>
        <v>-5181.93</v>
      </c>
      <c r="K9" s="5">
        <f>H9-F9</f>
        <v>-3643.4100000000003</v>
      </c>
      <c r="L9" s="5">
        <f t="shared" si="5"/>
        <v>-3643.4100000000003</v>
      </c>
      <c r="M9" s="5">
        <f t="shared" si="6"/>
        <v>319.09</v>
      </c>
      <c r="N9" s="44">
        <f t="shared" si="0"/>
        <v>-2.3681265111925747</v>
      </c>
      <c r="O9" s="44">
        <f t="shared" si="1"/>
      </c>
      <c r="P9" s="44">
        <f t="shared" si="2"/>
      </c>
      <c r="U9" s="78"/>
    </row>
    <row r="10" spans="1:21" ht="15.75">
      <c r="A10" s="104"/>
      <c r="B10" s="74" t="s">
        <v>11</v>
      </c>
      <c r="C10" s="4" t="s">
        <v>14</v>
      </c>
      <c r="D10" s="36">
        <v>413.81</v>
      </c>
      <c r="E10" s="5">
        <v>4690.3</v>
      </c>
      <c r="F10" s="5">
        <v>2720.4</v>
      </c>
      <c r="G10" s="5">
        <v>2720.4</v>
      </c>
      <c r="H10" s="88">
        <v>45.63</v>
      </c>
      <c r="I10" s="88">
        <v>29.49</v>
      </c>
      <c r="J10" s="5">
        <f t="shared" si="3"/>
        <v>-368.18</v>
      </c>
      <c r="K10" s="5">
        <f t="shared" si="4"/>
        <v>-2674.77</v>
      </c>
      <c r="L10" s="5">
        <f t="shared" si="5"/>
        <v>-4644.67</v>
      </c>
      <c r="M10" s="5">
        <f t="shared" si="6"/>
        <v>-2690.9100000000003</v>
      </c>
      <c r="N10" s="44">
        <f t="shared" si="0"/>
        <v>0.11026799739010658</v>
      </c>
      <c r="O10" s="44">
        <f t="shared" si="1"/>
        <v>0.01677326863696515</v>
      </c>
      <c r="P10" s="44">
        <f t="shared" si="2"/>
        <v>0.009728588789629662</v>
      </c>
      <c r="U10" s="78"/>
    </row>
    <row r="11" spans="1:21" ht="31.5">
      <c r="A11" s="104"/>
      <c r="B11" s="74" t="s">
        <v>11</v>
      </c>
      <c r="C11" s="4" t="s">
        <v>91</v>
      </c>
      <c r="D11" s="36">
        <v>70974.61999999998</v>
      </c>
      <c r="E11" s="5">
        <v>314766.5</v>
      </c>
      <c r="F11" s="5">
        <v>1823</v>
      </c>
      <c r="G11" s="5">
        <v>0</v>
      </c>
      <c r="H11" s="88">
        <v>-38115.770000000004</v>
      </c>
      <c r="I11" s="88">
        <v>3998.26</v>
      </c>
      <c r="J11" s="5">
        <f t="shared" si="3"/>
        <v>-109090.38999999998</v>
      </c>
      <c r="K11" s="5">
        <f t="shared" si="4"/>
        <v>-39938.770000000004</v>
      </c>
      <c r="L11" s="5">
        <f t="shared" si="5"/>
        <v>-352882.27</v>
      </c>
      <c r="M11" s="5">
        <f t="shared" si="6"/>
        <v>3998.26</v>
      </c>
      <c r="N11" s="44">
        <f t="shared" si="0"/>
        <v>-0.5370338016603684</v>
      </c>
      <c r="O11" s="44">
        <f t="shared" si="1"/>
        <v>-20.908266593527156</v>
      </c>
      <c r="P11" s="44">
        <f t="shared" si="2"/>
        <v>-0.12109220644509502</v>
      </c>
      <c r="U11" s="78"/>
    </row>
    <row r="12" spans="1:21" ht="15.75">
      <c r="A12" s="104"/>
      <c r="B12" s="74" t="s">
        <v>15</v>
      </c>
      <c r="C12" s="4" t="s">
        <v>16</v>
      </c>
      <c r="D12" s="36">
        <v>48584.1</v>
      </c>
      <c r="E12" s="5">
        <v>1083466.2</v>
      </c>
      <c r="F12" s="5">
        <v>45300</v>
      </c>
      <c r="G12" s="5">
        <v>12500</v>
      </c>
      <c r="H12" s="88">
        <v>16499.66</v>
      </c>
      <c r="I12" s="88">
        <v>4812.08</v>
      </c>
      <c r="J12" s="5">
        <f t="shared" si="3"/>
        <v>-32084.44</v>
      </c>
      <c r="K12" s="5">
        <f t="shared" si="4"/>
        <v>-28800.34</v>
      </c>
      <c r="L12" s="5">
        <f t="shared" si="5"/>
        <v>-1066966.54</v>
      </c>
      <c r="M12" s="5">
        <f t="shared" si="6"/>
        <v>-7687.92</v>
      </c>
      <c r="N12" s="44">
        <f t="shared" si="0"/>
        <v>0.3396102840229622</v>
      </c>
      <c r="O12" s="44">
        <f t="shared" si="1"/>
        <v>0.3642309050772627</v>
      </c>
      <c r="P12" s="44">
        <f t="shared" si="2"/>
        <v>0.015228587656910757</v>
      </c>
      <c r="U12" s="78"/>
    </row>
    <row r="13" spans="1:21" ht="15.75">
      <c r="A13" s="104"/>
      <c r="B13" s="74" t="s">
        <v>74</v>
      </c>
      <c r="C13" s="4" t="s">
        <v>94</v>
      </c>
      <c r="D13" s="36">
        <v>183855.42999999996</v>
      </c>
      <c r="E13" s="5"/>
      <c r="F13" s="5"/>
      <c r="G13" s="5"/>
      <c r="H13" s="88">
        <v>0</v>
      </c>
      <c r="I13" s="88">
        <v>0</v>
      </c>
      <c r="J13" s="5">
        <f t="shared" si="3"/>
        <v>-183855.42999999996</v>
      </c>
      <c r="K13" s="5">
        <f t="shared" si="4"/>
        <v>0</v>
      </c>
      <c r="L13" s="5">
        <f t="shared" si="5"/>
        <v>0</v>
      </c>
      <c r="M13" s="5">
        <f t="shared" si="6"/>
        <v>0</v>
      </c>
      <c r="N13" s="44">
        <f t="shared" si="0"/>
        <v>0</v>
      </c>
      <c r="O13" s="44">
        <f t="shared" si="1"/>
      </c>
      <c r="P13" s="44">
        <f t="shared" si="2"/>
      </c>
      <c r="U13" s="78"/>
    </row>
    <row r="14" spans="1:21" ht="15.75">
      <c r="A14" s="104"/>
      <c r="B14" s="74" t="s">
        <v>15</v>
      </c>
      <c r="C14" s="4" t="s">
        <v>17</v>
      </c>
      <c r="D14" s="36">
        <v>482803.9299999999</v>
      </c>
      <c r="E14" s="5">
        <v>2237196.9</v>
      </c>
      <c r="F14" s="5">
        <v>499900</v>
      </c>
      <c r="G14" s="5">
        <v>481600</v>
      </c>
      <c r="H14" s="88">
        <v>441071.14</v>
      </c>
      <c r="I14" s="88">
        <v>436768.66</v>
      </c>
      <c r="J14" s="5">
        <f t="shared" si="3"/>
        <v>-41732.78999999986</v>
      </c>
      <c r="K14" s="5">
        <f t="shared" si="4"/>
        <v>-58828.859999999986</v>
      </c>
      <c r="L14" s="5">
        <f t="shared" si="5"/>
        <v>-1796125.7599999998</v>
      </c>
      <c r="M14" s="5">
        <f t="shared" si="6"/>
        <v>-44831.340000000026</v>
      </c>
      <c r="N14" s="44">
        <f t="shared" si="0"/>
        <v>0.9135616191028108</v>
      </c>
      <c r="O14" s="44">
        <f t="shared" si="1"/>
        <v>0.8823187437487497</v>
      </c>
      <c r="P14" s="44">
        <f t="shared" si="2"/>
        <v>0.19715347361691768</v>
      </c>
      <c r="U14" s="78"/>
    </row>
    <row r="15" spans="1:21" ht="15.75">
      <c r="A15" s="104"/>
      <c r="B15" s="74" t="s">
        <v>18</v>
      </c>
      <c r="C15" s="4" t="s">
        <v>19</v>
      </c>
      <c r="D15" s="36">
        <v>51173.41</v>
      </c>
      <c r="E15" s="5">
        <v>228385.6</v>
      </c>
      <c r="F15" s="5">
        <v>53580</v>
      </c>
      <c r="G15" s="5">
        <v>22310</v>
      </c>
      <c r="H15" s="89">
        <v>42792.42</v>
      </c>
      <c r="I15" s="89">
        <v>18809.64</v>
      </c>
      <c r="J15" s="5">
        <f t="shared" si="3"/>
        <v>-8380.990000000005</v>
      </c>
      <c r="K15" s="5">
        <f t="shared" si="4"/>
        <v>-10787.580000000002</v>
      </c>
      <c r="L15" s="5">
        <f t="shared" si="5"/>
        <v>-185593.18</v>
      </c>
      <c r="M15" s="5">
        <f t="shared" si="6"/>
        <v>-3500.3600000000006</v>
      </c>
      <c r="N15" s="44">
        <f t="shared" si="0"/>
        <v>0.8362237341619406</v>
      </c>
      <c r="O15" s="44">
        <f t="shared" si="1"/>
        <v>0.7986640537513997</v>
      </c>
      <c r="P15" s="44">
        <f t="shared" si="2"/>
        <v>0.1873691686340995</v>
      </c>
      <c r="U15" s="78"/>
    </row>
    <row r="16" spans="1:21" ht="15.75">
      <c r="A16" s="104"/>
      <c r="B16" s="74" t="s">
        <v>15</v>
      </c>
      <c r="C16" s="4" t="s">
        <v>20</v>
      </c>
      <c r="D16" s="36">
        <v>18.060000000000002</v>
      </c>
      <c r="E16" s="5"/>
      <c r="F16" s="5"/>
      <c r="G16" s="5"/>
      <c r="H16" s="90">
        <v>-0.1</v>
      </c>
      <c r="I16" s="90">
        <v>2.18</v>
      </c>
      <c r="J16" s="5">
        <f t="shared" si="3"/>
        <v>-18.160000000000004</v>
      </c>
      <c r="K16" s="5">
        <f t="shared" si="4"/>
        <v>-0.1</v>
      </c>
      <c r="L16" s="5">
        <f t="shared" si="5"/>
        <v>-0.1</v>
      </c>
      <c r="M16" s="5">
        <f t="shared" si="6"/>
        <v>2.18</v>
      </c>
      <c r="N16" s="44">
        <f t="shared" si="0"/>
        <v>-0.005537098560354374</v>
      </c>
      <c r="O16" s="44">
        <f t="shared" si="1"/>
      </c>
      <c r="P16" s="44">
        <f t="shared" si="2"/>
      </c>
      <c r="U16" s="78"/>
    </row>
    <row r="17" spans="1:21" ht="15.75">
      <c r="A17" s="105"/>
      <c r="B17" s="56"/>
      <c r="C17" s="57" t="s">
        <v>9</v>
      </c>
      <c r="D17" s="30">
        <f>SUM(D6:D16)</f>
        <v>3555185.3399999994</v>
      </c>
      <c r="E17" s="30">
        <f>SUM(E6:E16)</f>
        <v>20001705.400000002</v>
      </c>
      <c r="F17" s="30">
        <f>SUM(F6:F16)</f>
        <v>3636751.9999999995</v>
      </c>
      <c r="G17" s="30">
        <f>SUM(G6:G16)</f>
        <v>2804971.6999999997</v>
      </c>
      <c r="H17" s="91">
        <f>SUM(H6:H16)</f>
        <v>2633135.57</v>
      </c>
      <c r="I17" s="91">
        <f>SUM(I6:I16)</f>
        <v>2246656.1000000006</v>
      </c>
      <c r="J17" s="30">
        <f t="shared" si="3"/>
        <v>-922049.7699999996</v>
      </c>
      <c r="K17" s="30">
        <f t="shared" si="4"/>
        <v>-1003616.4299999997</v>
      </c>
      <c r="L17" s="30">
        <f t="shared" si="5"/>
        <v>-17368569.830000002</v>
      </c>
      <c r="M17" s="30">
        <f>I17-G17</f>
        <v>-558315.5999999992</v>
      </c>
      <c r="N17" s="58">
        <f t="shared" si="0"/>
        <v>0.7406464974903391</v>
      </c>
      <c r="O17" s="58">
        <f t="shared" si="1"/>
        <v>0.7240349548168256</v>
      </c>
      <c r="P17" s="58">
        <f t="shared" si="2"/>
        <v>0.13164555308368853</v>
      </c>
      <c r="U17" s="78"/>
    </row>
    <row r="18" spans="1:21" ht="15.75">
      <c r="A18" s="75" t="s">
        <v>71</v>
      </c>
      <c r="B18" s="74" t="s">
        <v>22</v>
      </c>
      <c r="C18" s="4" t="s">
        <v>23</v>
      </c>
      <c r="D18" s="36">
        <v>32</v>
      </c>
      <c r="E18" s="5">
        <v>140</v>
      </c>
      <c r="F18" s="5">
        <v>35</v>
      </c>
      <c r="G18" s="5">
        <v>15</v>
      </c>
      <c r="H18" s="92">
        <v>20</v>
      </c>
      <c r="I18" s="92">
        <v>-4</v>
      </c>
      <c r="J18" s="5">
        <f t="shared" si="3"/>
        <v>-12</v>
      </c>
      <c r="K18" s="5">
        <f t="shared" si="4"/>
        <v>-15</v>
      </c>
      <c r="L18" s="5">
        <f t="shared" si="5"/>
        <v>-120</v>
      </c>
      <c r="M18" s="5">
        <f t="shared" si="6"/>
        <v>-19</v>
      </c>
      <c r="N18" s="44">
        <f t="shared" si="0"/>
        <v>0.625</v>
      </c>
      <c r="O18" s="44">
        <f t="shared" si="1"/>
        <v>0.5714285714285714</v>
      </c>
      <c r="P18" s="44">
        <f t="shared" si="2"/>
        <v>0.14285714285714285</v>
      </c>
      <c r="U18" s="78"/>
    </row>
    <row r="19" spans="1:21" ht="19.5" customHeight="1">
      <c r="A19" s="75" t="s">
        <v>21</v>
      </c>
      <c r="B19" s="74" t="s">
        <v>22</v>
      </c>
      <c r="C19" s="4" t="s">
        <v>90</v>
      </c>
      <c r="D19" s="36">
        <v>43.8</v>
      </c>
      <c r="E19" s="5"/>
      <c r="F19" s="5"/>
      <c r="G19" s="5"/>
      <c r="H19" s="92">
        <v>34.4</v>
      </c>
      <c r="I19" s="92">
        <v>15.2</v>
      </c>
      <c r="J19" s="5">
        <f t="shared" si="3"/>
        <v>-9.399999999999999</v>
      </c>
      <c r="K19" s="5">
        <f t="shared" si="4"/>
        <v>34.4</v>
      </c>
      <c r="L19" s="5">
        <f t="shared" si="5"/>
        <v>34.4</v>
      </c>
      <c r="M19" s="5">
        <f t="shared" si="6"/>
        <v>15.2</v>
      </c>
      <c r="N19" s="44">
        <f t="shared" si="0"/>
        <v>0.7853881278538813</v>
      </c>
      <c r="O19" s="44">
        <f t="shared" si="1"/>
      </c>
      <c r="P19" s="44">
        <f t="shared" si="2"/>
      </c>
      <c r="U19" s="78"/>
    </row>
    <row r="20" spans="1:21" ht="31.5">
      <c r="A20" s="76" t="s">
        <v>25</v>
      </c>
      <c r="B20" s="77" t="s">
        <v>73</v>
      </c>
      <c r="C20" s="4" t="s">
        <v>26</v>
      </c>
      <c r="D20" s="36">
        <v>214.4</v>
      </c>
      <c r="E20" s="5">
        <v>969.6</v>
      </c>
      <c r="F20" s="5">
        <v>222</v>
      </c>
      <c r="G20" s="5">
        <v>110</v>
      </c>
      <c r="H20" s="92">
        <v>27.2</v>
      </c>
      <c r="I20" s="92">
        <v>0</v>
      </c>
      <c r="J20" s="5">
        <f t="shared" si="3"/>
        <v>-187.20000000000002</v>
      </c>
      <c r="K20" s="5">
        <f t="shared" si="4"/>
        <v>-194.8</v>
      </c>
      <c r="L20" s="5">
        <f t="shared" si="5"/>
        <v>-942.4</v>
      </c>
      <c r="M20" s="5">
        <f t="shared" si="6"/>
        <v>-110</v>
      </c>
      <c r="N20" s="44">
        <f t="shared" si="0"/>
        <v>0.12686567164179105</v>
      </c>
      <c r="O20" s="44">
        <f t="shared" si="1"/>
        <v>0.12252252252252252</v>
      </c>
      <c r="P20" s="44">
        <f t="shared" si="2"/>
        <v>0.028052805280528052</v>
      </c>
      <c r="U20" s="78"/>
    </row>
    <row r="21" spans="1:21" ht="15.75">
      <c r="A21" s="75" t="s">
        <v>24</v>
      </c>
      <c r="B21" s="74" t="s">
        <v>11</v>
      </c>
      <c r="C21" s="4" t="s">
        <v>75</v>
      </c>
      <c r="D21" s="36">
        <v>20</v>
      </c>
      <c r="E21" s="5">
        <v>120</v>
      </c>
      <c r="F21" s="5">
        <v>10</v>
      </c>
      <c r="G21" s="5">
        <v>5</v>
      </c>
      <c r="H21" s="92">
        <v>10</v>
      </c>
      <c r="I21" s="92">
        <v>5</v>
      </c>
      <c r="J21" s="5">
        <f t="shared" si="3"/>
        <v>-10</v>
      </c>
      <c r="K21" s="5">
        <f t="shared" si="4"/>
        <v>0</v>
      </c>
      <c r="L21" s="5">
        <f t="shared" si="5"/>
        <v>-110</v>
      </c>
      <c r="M21" s="5">
        <f t="shared" si="6"/>
        <v>0</v>
      </c>
      <c r="N21" s="44">
        <f t="shared" si="0"/>
        <v>0.5</v>
      </c>
      <c r="O21" s="44">
        <f t="shared" si="1"/>
        <v>1</v>
      </c>
      <c r="P21" s="44">
        <f t="shared" si="2"/>
        <v>0.08333333333333333</v>
      </c>
      <c r="U21" s="78"/>
    </row>
    <row r="22" spans="1:21" ht="27.75" customHeight="1">
      <c r="A22" s="110"/>
      <c r="B22" s="110"/>
      <c r="C22" s="53" t="s">
        <v>27</v>
      </c>
      <c r="D22" s="81">
        <f aca="true" t="shared" si="7" ref="D22:I22">D26+D29+D37+D46+D48+D53+D56+D58+D67</f>
        <v>1310345.0700000003</v>
      </c>
      <c r="E22" s="85">
        <f t="shared" si="7"/>
        <v>6086578.0200000005</v>
      </c>
      <c r="F22" s="85">
        <f t="shared" si="7"/>
        <v>1364529.7000000002</v>
      </c>
      <c r="G22" s="85">
        <f t="shared" si="7"/>
        <v>596391.9</v>
      </c>
      <c r="H22" s="85">
        <f t="shared" si="7"/>
        <v>1680054.28</v>
      </c>
      <c r="I22" s="85">
        <f t="shared" si="7"/>
        <v>593462.9599999998</v>
      </c>
      <c r="J22" s="85">
        <f t="shared" si="3"/>
        <v>369709.20999999973</v>
      </c>
      <c r="K22" s="85">
        <f t="shared" si="4"/>
        <v>315524.57999999984</v>
      </c>
      <c r="L22" s="85">
        <f t="shared" si="5"/>
        <v>-4406523.74</v>
      </c>
      <c r="M22" s="85">
        <f t="shared" si="6"/>
        <v>-2928.940000000177</v>
      </c>
      <c r="N22" s="52">
        <f t="shared" si="0"/>
        <v>1.2821464501713276</v>
      </c>
      <c r="O22" s="52">
        <f t="shared" si="1"/>
        <v>1.2312332080423019</v>
      </c>
      <c r="P22" s="52">
        <f t="shared" si="2"/>
        <v>0.276026081400662</v>
      </c>
      <c r="T22" s="6"/>
      <c r="U22" s="78"/>
    </row>
    <row r="23" spans="1:16" ht="31.5">
      <c r="A23" s="103" t="s">
        <v>25</v>
      </c>
      <c r="B23" s="106" t="s">
        <v>73</v>
      </c>
      <c r="C23" s="7" t="s">
        <v>92</v>
      </c>
      <c r="D23" s="40">
        <v>25852.01</v>
      </c>
      <c r="E23" s="5">
        <f>135475.5+25225.6</f>
        <v>160701.1</v>
      </c>
      <c r="F23" s="5">
        <f>26900+4425+1925</f>
        <v>33250</v>
      </c>
      <c r="G23" s="5">
        <f>11200+4425+1925</f>
        <v>17550</v>
      </c>
      <c r="H23" s="38">
        <v>37276.31</v>
      </c>
      <c r="I23" s="38">
        <v>15225.23</v>
      </c>
      <c r="J23" s="8">
        <f t="shared" si="3"/>
        <v>11424.3</v>
      </c>
      <c r="K23" s="8">
        <f t="shared" si="4"/>
        <v>4026.3099999999977</v>
      </c>
      <c r="L23" s="8">
        <f t="shared" si="5"/>
        <v>-123424.79000000001</v>
      </c>
      <c r="M23" s="8">
        <f t="shared" si="6"/>
        <v>-2324.7700000000004</v>
      </c>
      <c r="N23" s="45">
        <f t="shared" si="0"/>
        <v>1.4419114799971067</v>
      </c>
      <c r="O23" s="45">
        <f t="shared" si="1"/>
        <v>1.1210920300751879</v>
      </c>
      <c r="P23" s="45">
        <f t="shared" si="2"/>
        <v>0.231960515516073</v>
      </c>
    </row>
    <row r="24" spans="1:16" ht="15.75">
      <c r="A24" s="104"/>
      <c r="B24" s="107"/>
      <c r="C24" s="7" t="s">
        <v>28</v>
      </c>
      <c r="D24" s="39"/>
      <c r="E24" s="5">
        <v>31937.8</v>
      </c>
      <c r="F24" s="5">
        <f>G24</f>
        <v>0</v>
      </c>
      <c r="G24" s="5">
        <v>0</v>
      </c>
      <c r="H24" s="17">
        <v>9834.5</v>
      </c>
      <c r="I24" s="17">
        <v>9834.5</v>
      </c>
      <c r="J24" s="5">
        <f t="shared" si="3"/>
        <v>9834.5</v>
      </c>
      <c r="K24" s="5">
        <f t="shared" si="4"/>
        <v>9834.5</v>
      </c>
      <c r="L24" s="5">
        <f t="shared" si="5"/>
        <v>-22103.3</v>
      </c>
      <c r="M24" s="5">
        <f t="shared" si="6"/>
        <v>9834.5</v>
      </c>
      <c r="N24" s="45">
        <f t="shared" si="0"/>
      </c>
      <c r="O24" s="45">
        <f t="shared" si="1"/>
      </c>
      <c r="P24" s="45">
        <f t="shared" si="2"/>
        <v>0.30792665744039976</v>
      </c>
    </row>
    <row r="25" spans="1:16" ht="15.75">
      <c r="A25" s="104"/>
      <c r="B25" s="107"/>
      <c r="C25" s="7" t="s">
        <v>49</v>
      </c>
      <c r="D25" s="39">
        <v>16044.850000000002</v>
      </c>
      <c r="E25" s="5">
        <f>110819.4+14383.9-8662.9</f>
        <v>116540.4</v>
      </c>
      <c r="F25" s="5">
        <f>20450+1500+1000</f>
        <v>22950</v>
      </c>
      <c r="G25" s="5">
        <f>7600+1500+1000</f>
        <v>10100</v>
      </c>
      <c r="H25" s="39">
        <v>23915.24</v>
      </c>
      <c r="I25" s="39">
        <v>8130.65</v>
      </c>
      <c r="J25" s="8">
        <f t="shared" si="3"/>
        <v>7870.389999999999</v>
      </c>
      <c r="K25" s="8">
        <f t="shared" si="4"/>
        <v>965.2400000000016</v>
      </c>
      <c r="L25" s="8">
        <f t="shared" si="5"/>
        <v>-92625.15999999999</v>
      </c>
      <c r="M25" s="8">
        <f t="shared" si="6"/>
        <v>-1969.3500000000004</v>
      </c>
      <c r="N25" s="45">
        <f t="shared" si="0"/>
        <v>1.4905243738645109</v>
      </c>
      <c r="O25" s="45">
        <f t="shared" si="1"/>
        <v>1.0420583877995644</v>
      </c>
      <c r="P25" s="45">
        <f t="shared" si="2"/>
        <v>0.20520986713620343</v>
      </c>
    </row>
    <row r="26" spans="1:16" ht="15.75">
      <c r="A26" s="105"/>
      <c r="B26" s="108"/>
      <c r="C26" s="57" t="s">
        <v>9</v>
      </c>
      <c r="D26" s="30">
        <f aca="true" t="shared" si="8" ref="D26:I26">SUM(D23:D25)</f>
        <v>41896.86</v>
      </c>
      <c r="E26" s="30">
        <f t="shared" si="8"/>
        <v>309179.3</v>
      </c>
      <c r="F26" s="30">
        <f t="shared" si="8"/>
        <v>56200</v>
      </c>
      <c r="G26" s="30">
        <f t="shared" si="8"/>
        <v>27650</v>
      </c>
      <c r="H26" s="30">
        <f t="shared" si="8"/>
        <v>71026.05</v>
      </c>
      <c r="I26" s="30">
        <f t="shared" si="8"/>
        <v>33190.38</v>
      </c>
      <c r="J26" s="30">
        <f t="shared" si="3"/>
        <v>29129.190000000002</v>
      </c>
      <c r="K26" s="30">
        <f t="shared" si="4"/>
        <v>14826.050000000003</v>
      </c>
      <c r="L26" s="30">
        <f t="shared" si="5"/>
        <v>-238153.25</v>
      </c>
      <c r="M26" s="30">
        <f t="shared" si="6"/>
        <v>5540.379999999997</v>
      </c>
      <c r="N26" s="59">
        <f t="shared" si="0"/>
        <v>1.6952595015473715</v>
      </c>
      <c r="O26" s="59">
        <f t="shared" si="1"/>
        <v>1.26380871886121</v>
      </c>
      <c r="P26" s="59">
        <f t="shared" si="2"/>
        <v>0.22972446732365331</v>
      </c>
    </row>
    <row r="27" spans="1:16" ht="31.5">
      <c r="A27" s="98">
        <v>951</v>
      </c>
      <c r="B27" s="98" t="s">
        <v>11</v>
      </c>
      <c r="C27" s="9" t="s">
        <v>29</v>
      </c>
      <c r="D27" s="40">
        <v>17021.08</v>
      </c>
      <c r="E27" s="5">
        <v>91712.1</v>
      </c>
      <c r="F27" s="5">
        <v>18903</v>
      </c>
      <c r="G27" s="5">
        <v>11120</v>
      </c>
      <c r="H27" s="38">
        <v>16961.13</v>
      </c>
      <c r="I27" s="38">
        <v>9836.48</v>
      </c>
      <c r="J27" s="5">
        <f t="shared" si="3"/>
        <v>-59.95000000000073</v>
      </c>
      <c r="K27" s="5">
        <f t="shared" si="4"/>
        <v>-1941.869999999999</v>
      </c>
      <c r="L27" s="5">
        <f t="shared" si="5"/>
        <v>-74750.97</v>
      </c>
      <c r="M27" s="5">
        <f t="shared" si="6"/>
        <v>-1283.5200000000004</v>
      </c>
      <c r="N27" s="45">
        <f t="shared" si="0"/>
        <v>0.9964778968197082</v>
      </c>
      <c r="O27" s="45">
        <f t="shared" si="1"/>
        <v>0.8972718616092684</v>
      </c>
      <c r="P27" s="45">
        <f t="shared" si="2"/>
        <v>0.18493884667344876</v>
      </c>
    </row>
    <row r="28" spans="1:16" ht="15.75">
      <c r="A28" s="98"/>
      <c r="B28" s="98"/>
      <c r="C28" s="7" t="s">
        <v>30</v>
      </c>
      <c r="D28" s="40">
        <v>2363.89</v>
      </c>
      <c r="E28" s="5">
        <v>14224.9</v>
      </c>
      <c r="F28" s="5">
        <v>642.3</v>
      </c>
      <c r="G28" s="5">
        <v>11.1</v>
      </c>
      <c r="H28" s="38">
        <v>2412.92</v>
      </c>
      <c r="I28" s="38">
        <v>2555.5</v>
      </c>
      <c r="J28" s="5">
        <f t="shared" si="3"/>
        <v>49.0300000000002</v>
      </c>
      <c r="K28" s="5">
        <f t="shared" si="4"/>
        <v>1770.6200000000001</v>
      </c>
      <c r="L28" s="5">
        <f t="shared" si="5"/>
        <v>-11811.98</v>
      </c>
      <c r="M28" s="5">
        <f t="shared" si="6"/>
        <v>2544.4</v>
      </c>
      <c r="N28" s="45">
        <f t="shared" si="0"/>
        <v>1.0207412358443075</v>
      </c>
      <c r="O28" s="45">
        <f t="shared" si="1"/>
        <v>3.7566869064300175</v>
      </c>
      <c r="P28" s="45">
        <f t="shared" si="2"/>
        <v>0.1696265000105449</v>
      </c>
    </row>
    <row r="29" spans="1:16" ht="15.75">
      <c r="A29" s="98"/>
      <c r="B29" s="98"/>
      <c r="C29" s="60" t="s">
        <v>9</v>
      </c>
      <c r="D29" s="30">
        <f>D27+D28</f>
        <v>19384.97</v>
      </c>
      <c r="E29" s="30">
        <f>E27+E28</f>
        <v>105937</v>
      </c>
      <c r="F29" s="30">
        <f>F27+F28</f>
        <v>19545.3</v>
      </c>
      <c r="G29" s="30">
        <f>G27+G28</f>
        <v>11131.1</v>
      </c>
      <c r="H29" s="30">
        <f>H27+H28</f>
        <v>19374.050000000003</v>
      </c>
      <c r="I29" s="30">
        <f>I27+I28</f>
        <v>12391.98</v>
      </c>
      <c r="J29" s="30">
        <f t="shared" si="3"/>
        <v>-10.919999999998254</v>
      </c>
      <c r="K29" s="30">
        <f t="shared" si="4"/>
        <v>-171.24999999999636</v>
      </c>
      <c r="L29" s="30">
        <f t="shared" si="5"/>
        <v>-86562.95</v>
      </c>
      <c r="M29" s="30">
        <f t="shared" si="6"/>
        <v>1260.8799999999992</v>
      </c>
      <c r="N29" s="59">
        <f t="shared" si="0"/>
        <v>0.9994366769719015</v>
      </c>
      <c r="O29" s="59">
        <f t="shared" si="1"/>
        <v>0.9912383028144875</v>
      </c>
      <c r="P29" s="59">
        <f t="shared" si="2"/>
        <v>0.18288275106903162</v>
      </c>
    </row>
    <row r="30" spans="1:16" ht="15.75">
      <c r="A30" s="111" t="s">
        <v>31</v>
      </c>
      <c r="B30" s="98" t="s">
        <v>32</v>
      </c>
      <c r="C30" s="7" t="s">
        <v>33</v>
      </c>
      <c r="D30" s="39"/>
      <c r="E30" s="3">
        <v>496</v>
      </c>
      <c r="F30" s="3">
        <f>G30</f>
        <v>0</v>
      </c>
      <c r="G30" s="3">
        <v>0</v>
      </c>
      <c r="H30" s="39">
        <v>0</v>
      </c>
      <c r="I30" s="39">
        <v>0</v>
      </c>
      <c r="J30" s="3">
        <f t="shared" si="3"/>
        <v>0</v>
      </c>
      <c r="K30" s="3">
        <f t="shared" si="4"/>
        <v>0</v>
      </c>
      <c r="L30" s="3">
        <f t="shared" si="5"/>
        <v>-496</v>
      </c>
      <c r="M30" s="3">
        <f t="shared" si="6"/>
        <v>0</v>
      </c>
      <c r="N30" s="45">
        <f t="shared" si="0"/>
      </c>
      <c r="O30" s="45">
        <f t="shared" si="1"/>
      </c>
      <c r="P30" s="45">
        <f t="shared" si="2"/>
        <v>0</v>
      </c>
    </row>
    <row r="31" spans="1:16" ht="15.75">
      <c r="A31" s="111"/>
      <c r="B31" s="98"/>
      <c r="C31" s="10" t="s">
        <v>34</v>
      </c>
      <c r="D31" s="39">
        <v>19603.75</v>
      </c>
      <c r="E31" s="3">
        <v>100081.7</v>
      </c>
      <c r="F31" s="3">
        <v>21000</v>
      </c>
      <c r="G31" s="3">
        <v>8500</v>
      </c>
      <c r="H31" s="39">
        <v>22633.69</v>
      </c>
      <c r="I31" s="39">
        <v>7942.29</v>
      </c>
      <c r="J31" s="3">
        <f t="shared" si="3"/>
        <v>3029.9399999999987</v>
      </c>
      <c r="K31" s="3">
        <f t="shared" si="4"/>
        <v>1633.6899999999987</v>
      </c>
      <c r="L31" s="3">
        <f t="shared" si="5"/>
        <v>-77448.01</v>
      </c>
      <c r="M31" s="3">
        <f t="shared" si="6"/>
        <v>-557.71</v>
      </c>
      <c r="N31" s="45">
        <f t="shared" si="0"/>
        <v>1.1545592042338837</v>
      </c>
      <c r="O31" s="45">
        <f t="shared" si="1"/>
        <v>1.0777947619047619</v>
      </c>
      <c r="P31" s="45">
        <f t="shared" si="2"/>
        <v>0.22615213370676157</v>
      </c>
    </row>
    <row r="32" spans="1:16" ht="15.75">
      <c r="A32" s="111"/>
      <c r="B32" s="98"/>
      <c r="C32" s="9" t="s">
        <v>35</v>
      </c>
      <c r="D32" s="39">
        <v>139.25</v>
      </c>
      <c r="E32" s="3">
        <v>557</v>
      </c>
      <c r="F32" s="3">
        <v>139.2</v>
      </c>
      <c r="G32" s="3">
        <v>46.4</v>
      </c>
      <c r="H32" s="39">
        <v>2561.58</v>
      </c>
      <c r="I32" s="39">
        <v>799.55</v>
      </c>
      <c r="J32" s="3">
        <f t="shared" si="3"/>
        <v>2422.33</v>
      </c>
      <c r="K32" s="3">
        <f t="shared" si="4"/>
        <v>2422.38</v>
      </c>
      <c r="L32" s="3">
        <f t="shared" si="5"/>
        <v>2004.58</v>
      </c>
      <c r="M32" s="3">
        <f t="shared" si="6"/>
        <v>753.15</v>
      </c>
      <c r="N32" s="45">
        <f t="shared" si="0"/>
        <v>18.395547576301617</v>
      </c>
      <c r="O32" s="45">
        <f t="shared" si="1"/>
        <v>18.402155172413796</v>
      </c>
      <c r="P32" s="45">
        <f t="shared" si="2"/>
        <v>4.598886894075404</v>
      </c>
    </row>
    <row r="33" spans="1:16" ht="15.75">
      <c r="A33" s="111"/>
      <c r="B33" s="98"/>
      <c r="C33" s="9" t="s">
        <v>36</v>
      </c>
      <c r="D33" s="5">
        <f aca="true" t="shared" si="9" ref="D33:I33">D34+D36+D35</f>
        <v>16327.49</v>
      </c>
      <c r="E33" s="5">
        <f t="shared" si="9"/>
        <v>171171.09999999998</v>
      </c>
      <c r="F33" s="5">
        <f t="shared" si="9"/>
        <v>98514.00000000001</v>
      </c>
      <c r="G33" s="5">
        <f t="shared" si="9"/>
        <v>91778.70000000001</v>
      </c>
      <c r="H33" s="5">
        <f t="shared" si="9"/>
        <v>137767.18</v>
      </c>
      <c r="I33" s="5">
        <f t="shared" si="9"/>
        <v>9483.06</v>
      </c>
      <c r="J33" s="11">
        <f t="shared" si="3"/>
        <v>121439.68999999999</v>
      </c>
      <c r="K33" s="11">
        <f t="shared" si="4"/>
        <v>39253.17999999998</v>
      </c>
      <c r="L33" s="11">
        <f t="shared" si="5"/>
        <v>-33403.919999999984</v>
      </c>
      <c r="M33" s="11">
        <f t="shared" si="6"/>
        <v>-82295.64000000001</v>
      </c>
      <c r="N33" s="45">
        <f t="shared" si="0"/>
        <v>8.437743952071017</v>
      </c>
      <c r="O33" s="45">
        <f t="shared" si="1"/>
        <v>1.398452808737844</v>
      </c>
      <c r="P33" s="45">
        <f t="shared" si="2"/>
        <v>0.8048507020168709</v>
      </c>
    </row>
    <row r="34" spans="1:16" ht="15.75">
      <c r="A34" s="111"/>
      <c r="B34" s="98"/>
      <c r="C34" s="12" t="s">
        <v>37</v>
      </c>
      <c r="D34" s="41">
        <v>7495.58</v>
      </c>
      <c r="E34" s="13">
        <f>48594.6+85630.3</f>
        <v>134224.9</v>
      </c>
      <c r="F34" s="13">
        <f>3862.8+85630.3</f>
        <v>89493.1</v>
      </c>
      <c r="G34" s="13">
        <f>1510+85630.3</f>
        <v>87140.3</v>
      </c>
      <c r="H34" s="41">
        <v>125897.24</v>
      </c>
      <c r="I34" s="41">
        <v>3784.2299999999996</v>
      </c>
      <c r="J34" s="13">
        <f t="shared" si="3"/>
        <v>118401.66</v>
      </c>
      <c r="K34" s="13">
        <f t="shared" si="4"/>
        <v>36404.14</v>
      </c>
      <c r="L34" s="13">
        <f t="shared" si="5"/>
        <v>-8327.659999999989</v>
      </c>
      <c r="M34" s="13">
        <f t="shared" si="6"/>
        <v>-83356.07</v>
      </c>
      <c r="N34" s="45">
        <f t="shared" si="0"/>
        <v>16.796197225564935</v>
      </c>
      <c r="O34" s="45">
        <f t="shared" si="1"/>
        <v>1.4067815284083354</v>
      </c>
      <c r="P34" s="45">
        <f t="shared" si="2"/>
        <v>0.937957413266838</v>
      </c>
    </row>
    <row r="35" spans="1:16" ht="15.75">
      <c r="A35" s="111"/>
      <c r="B35" s="98"/>
      <c r="C35" s="12" t="s">
        <v>38</v>
      </c>
      <c r="D35" s="41">
        <v>239.84</v>
      </c>
      <c r="E35" s="13">
        <v>1867.8</v>
      </c>
      <c r="F35" s="13">
        <v>160.3</v>
      </c>
      <c r="G35" s="13">
        <v>160.3</v>
      </c>
      <c r="H35" s="41">
        <v>693.33</v>
      </c>
      <c r="I35" s="41">
        <v>133.33</v>
      </c>
      <c r="J35" s="13">
        <f t="shared" si="3"/>
        <v>453.49</v>
      </c>
      <c r="K35" s="13">
        <f t="shared" si="4"/>
        <v>533.03</v>
      </c>
      <c r="L35" s="13">
        <f t="shared" si="5"/>
        <v>-1174.4699999999998</v>
      </c>
      <c r="M35" s="13">
        <f t="shared" si="6"/>
        <v>-26.97</v>
      </c>
      <c r="N35" s="45">
        <f t="shared" si="0"/>
        <v>2.890802201467645</v>
      </c>
      <c r="O35" s="45">
        <f t="shared" si="1"/>
        <v>4.325202744853399</v>
      </c>
      <c r="P35" s="45">
        <f t="shared" si="2"/>
        <v>0.37120141342756185</v>
      </c>
    </row>
    <row r="36" spans="1:16" ht="15.75">
      <c r="A36" s="111"/>
      <c r="B36" s="98"/>
      <c r="C36" s="12" t="s">
        <v>39</v>
      </c>
      <c r="D36" s="30">
        <v>8592.07</v>
      </c>
      <c r="E36" s="5">
        <f>35078.4+85630.3-85630.3</f>
        <v>35078.40000000001</v>
      </c>
      <c r="F36" s="5">
        <f>8860.6+85630.3-85630.3</f>
        <v>8860.600000000006</v>
      </c>
      <c r="G36" s="5">
        <f>4478.1+85630.3-85630.3</f>
        <v>4478.100000000006</v>
      </c>
      <c r="H36" s="30">
        <v>11176.609999999999</v>
      </c>
      <c r="I36" s="41">
        <v>5565.5</v>
      </c>
      <c r="J36" s="13">
        <f t="shared" si="3"/>
        <v>2584.539999999999</v>
      </c>
      <c r="K36" s="13">
        <f t="shared" si="4"/>
        <v>2316.009999999993</v>
      </c>
      <c r="L36" s="13">
        <f t="shared" si="5"/>
        <v>-23901.790000000008</v>
      </c>
      <c r="M36" s="13">
        <f t="shared" si="6"/>
        <v>1087.3999999999942</v>
      </c>
      <c r="N36" s="45">
        <f t="shared" si="0"/>
        <v>1.3008052774244157</v>
      </c>
      <c r="O36" s="45">
        <f t="shared" si="1"/>
        <v>1.2613829763221442</v>
      </c>
      <c r="P36" s="45">
        <f t="shared" si="2"/>
        <v>0.31861800994344086</v>
      </c>
    </row>
    <row r="37" spans="1:16" ht="15.75">
      <c r="A37" s="111"/>
      <c r="B37" s="111"/>
      <c r="C37" s="60" t="s">
        <v>9</v>
      </c>
      <c r="D37" s="30">
        <f>SUM(D30:D33)</f>
        <v>36070.49</v>
      </c>
      <c r="E37" s="30">
        <f>SUM(E30:E33)</f>
        <v>272305.8</v>
      </c>
      <c r="F37" s="30">
        <f>SUM(F30:F33)</f>
        <v>119653.20000000001</v>
      </c>
      <c r="G37" s="30">
        <f>SUM(G30:G33)</f>
        <v>100325.1</v>
      </c>
      <c r="H37" s="30">
        <f>SUM(H30:H33)</f>
        <v>162962.44999999998</v>
      </c>
      <c r="I37" s="30">
        <f>SUM(I30:I33)</f>
        <v>18224.9</v>
      </c>
      <c r="J37" s="30">
        <f t="shared" si="3"/>
        <v>126891.95999999999</v>
      </c>
      <c r="K37" s="30">
        <f t="shared" si="4"/>
        <v>43309.24999999997</v>
      </c>
      <c r="L37" s="30">
        <f t="shared" si="5"/>
        <v>-109343.35</v>
      </c>
      <c r="M37" s="30">
        <f t="shared" si="6"/>
        <v>-82100.20000000001</v>
      </c>
      <c r="N37" s="59">
        <f aca="true" t="shared" si="10" ref="N37:N63">_xlfn.IFERROR(H37/D37,"")</f>
        <v>4.517888445651833</v>
      </c>
      <c r="O37" s="59">
        <f aca="true" t="shared" si="11" ref="O37:O63">_xlfn.IFERROR(H37/F37,"")</f>
        <v>1.3619564708674734</v>
      </c>
      <c r="P37" s="59">
        <f aca="true" t="shared" si="12" ref="P37:P63">_xlfn.IFERROR(H37/E37,"")</f>
        <v>0.5984538338882242</v>
      </c>
    </row>
    <row r="38" spans="1:16" ht="31.5">
      <c r="A38" s="111" t="s">
        <v>72</v>
      </c>
      <c r="B38" s="98" t="s">
        <v>15</v>
      </c>
      <c r="C38" s="9" t="s">
        <v>41</v>
      </c>
      <c r="D38" s="40">
        <v>89905.33</v>
      </c>
      <c r="E38" s="5">
        <v>326627.4</v>
      </c>
      <c r="F38" s="5">
        <v>94600.5</v>
      </c>
      <c r="G38" s="5">
        <v>40000</v>
      </c>
      <c r="H38" s="40">
        <v>94010.41</v>
      </c>
      <c r="I38" s="40">
        <v>30825.01</v>
      </c>
      <c r="J38" s="11">
        <f t="shared" si="3"/>
        <v>4105.080000000002</v>
      </c>
      <c r="K38" s="11">
        <f t="shared" si="4"/>
        <v>-590.0899999999965</v>
      </c>
      <c r="L38" s="11">
        <f t="shared" si="5"/>
        <v>-232616.99000000002</v>
      </c>
      <c r="M38" s="11">
        <f t="shared" si="6"/>
        <v>-9174.990000000002</v>
      </c>
      <c r="N38" s="45">
        <f t="shared" si="10"/>
        <v>1.0456600292774634</v>
      </c>
      <c r="O38" s="45">
        <f t="shared" si="11"/>
        <v>0.99376229512529</v>
      </c>
      <c r="P38" s="45">
        <f t="shared" si="12"/>
        <v>0.28782156671485615</v>
      </c>
    </row>
    <row r="39" spans="1:16" ht="31.5">
      <c r="A39" s="111"/>
      <c r="B39" s="98"/>
      <c r="C39" s="9" t="s">
        <v>42</v>
      </c>
      <c r="D39" s="40">
        <v>6802.26</v>
      </c>
      <c r="E39" s="5">
        <f>245061.4+9204.6</f>
        <v>254266</v>
      </c>
      <c r="F39" s="5">
        <v>43700</v>
      </c>
      <c r="G39" s="5">
        <v>24300</v>
      </c>
      <c r="H39" s="40">
        <v>40775.61</v>
      </c>
      <c r="I39" s="40">
        <v>16390.88</v>
      </c>
      <c r="J39" s="11">
        <f t="shared" si="3"/>
        <v>33973.35</v>
      </c>
      <c r="K39" s="11">
        <f t="shared" si="4"/>
        <v>-2924.3899999999994</v>
      </c>
      <c r="L39" s="11">
        <f t="shared" si="5"/>
        <v>-213490.39</v>
      </c>
      <c r="M39" s="11">
        <f t="shared" si="6"/>
        <v>-7909.119999999999</v>
      </c>
      <c r="N39" s="45">
        <f t="shared" si="10"/>
        <v>5.994420971853472</v>
      </c>
      <c r="O39" s="45">
        <f t="shared" si="11"/>
        <v>0.9330803203661328</v>
      </c>
      <c r="P39" s="45">
        <f t="shared" si="12"/>
        <v>0.1603659553381105</v>
      </c>
    </row>
    <row r="40" spans="1:16" ht="31.5">
      <c r="A40" s="111"/>
      <c r="B40" s="98"/>
      <c r="C40" s="7" t="s">
        <v>43</v>
      </c>
      <c r="D40" s="40">
        <v>15440.16</v>
      </c>
      <c r="E40" s="5">
        <f>48566.2-5534.78</f>
        <v>43031.42</v>
      </c>
      <c r="F40" s="5">
        <f>13800-2460</f>
        <v>11340</v>
      </c>
      <c r="G40" s="5">
        <f>6400-2460</f>
        <v>3940</v>
      </c>
      <c r="H40" s="40">
        <v>12966.210000000001</v>
      </c>
      <c r="I40" s="40">
        <v>6388.110000000001</v>
      </c>
      <c r="J40" s="5">
        <f t="shared" si="3"/>
        <v>-2473.949999999999</v>
      </c>
      <c r="K40" s="5">
        <f t="shared" si="4"/>
        <v>1626.210000000001</v>
      </c>
      <c r="L40" s="5">
        <f t="shared" si="5"/>
        <v>-30065.21</v>
      </c>
      <c r="M40" s="5">
        <f t="shared" si="6"/>
        <v>2448.1100000000006</v>
      </c>
      <c r="N40" s="45">
        <f t="shared" si="10"/>
        <v>0.8397717381167035</v>
      </c>
      <c r="O40" s="45">
        <f t="shared" si="11"/>
        <v>1.143404761904762</v>
      </c>
      <c r="P40" s="45">
        <f t="shared" si="12"/>
        <v>0.3013195939153298</v>
      </c>
    </row>
    <row r="41" spans="1:16" s="43" customFormat="1" ht="25.5" customHeight="1">
      <c r="A41" s="112"/>
      <c r="B41" s="115"/>
      <c r="C41" s="9" t="s">
        <v>42</v>
      </c>
      <c r="D41" s="40">
        <v>955.13</v>
      </c>
      <c r="E41" s="5"/>
      <c r="F41" s="5"/>
      <c r="G41" s="5"/>
      <c r="H41" s="40">
        <v>0</v>
      </c>
      <c r="I41" s="40">
        <v>0</v>
      </c>
      <c r="J41" s="5">
        <f t="shared" si="3"/>
        <v>-955.13</v>
      </c>
      <c r="K41" s="5">
        <f t="shared" si="4"/>
        <v>0</v>
      </c>
      <c r="L41" s="5">
        <f t="shared" si="5"/>
        <v>0</v>
      </c>
      <c r="M41" s="5">
        <f t="shared" si="6"/>
        <v>0</v>
      </c>
      <c r="N41" s="48">
        <f t="shared" si="10"/>
        <v>0</v>
      </c>
      <c r="O41" s="48">
        <f t="shared" si="11"/>
      </c>
      <c r="P41" s="48">
        <f t="shared" si="12"/>
      </c>
    </row>
    <row r="42" spans="1:16" ht="31.5">
      <c r="A42" s="113"/>
      <c r="B42" s="116"/>
      <c r="C42" s="14" t="s">
        <v>76</v>
      </c>
      <c r="D42" s="40">
        <v>1413.26</v>
      </c>
      <c r="E42" s="5">
        <v>2948.3</v>
      </c>
      <c r="F42" s="5">
        <v>1412.3</v>
      </c>
      <c r="G42" s="5">
        <v>1412.3</v>
      </c>
      <c r="H42" s="40">
        <v>1653.47</v>
      </c>
      <c r="I42" s="40">
        <v>161.47</v>
      </c>
      <c r="J42" s="5">
        <f t="shared" si="3"/>
        <v>240.21000000000004</v>
      </c>
      <c r="K42" s="5">
        <f t="shared" si="4"/>
        <v>241.17000000000007</v>
      </c>
      <c r="L42" s="5">
        <f t="shared" si="5"/>
        <v>-1294.8300000000002</v>
      </c>
      <c r="M42" s="5">
        <f t="shared" si="6"/>
        <v>-1250.83</v>
      </c>
      <c r="N42" s="45">
        <f t="shared" si="10"/>
        <v>1.169968724792324</v>
      </c>
      <c r="O42" s="45">
        <f t="shared" si="11"/>
        <v>1.1707640019825816</v>
      </c>
      <c r="P42" s="45">
        <f t="shared" si="12"/>
        <v>0.5608214903503713</v>
      </c>
    </row>
    <row r="43" spans="1:16" ht="15.75">
      <c r="A43" s="114"/>
      <c r="B43" s="117"/>
      <c r="C43" s="15" t="s">
        <v>80</v>
      </c>
      <c r="D43" s="40">
        <v>56.27</v>
      </c>
      <c r="E43" s="5"/>
      <c r="F43" s="5"/>
      <c r="G43" s="5"/>
      <c r="H43" s="40">
        <v>33.89</v>
      </c>
      <c r="I43" s="40">
        <v>23.25</v>
      </c>
      <c r="J43" s="5">
        <f t="shared" si="3"/>
        <v>-22.380000000000003</v>
      </c>
      <c r="K43" s="5">
        <f t="shared" si="4"/>
        <v>33.89</v>
      </c>
      <c r="L43" s="5">
        <f t="shared" si="5"/>
        <v>33.89</v>
      </c>
      <c r="M43" s="5">
        <f t="shared" si="6"/>
        <v>23.25</v>
      </c>
      <c r="N43" s="45">
        <f t="shared" si="10"/>
        <v>0.6022747467567087</v>
      </c>
      <c r="O43" s="45">
        <f t="shared" si="11"/>
      </c>
      <c r="P43" s="45">
        <f t="shared" si="12"/>
      </c>
    </row>
    <row r="44" spans="1:16" ht="27.75" customHeight="1">
      <c r="A44" s="111"/>
      <c r="B44" s="98"/>
      <c r="C44" s="9" t="s">
        <v>44</v>
      </c>
      <c r="D44" s="40">
        <v>30377.25</v>
      </c>
      <c r="E44" s="3">
        <v>104142</v>
      </c>
      <c r="F44" s="3">
        <v>15840</v>
      </c>
      <c r="G44" s="3">
        <v>8000</v>
      </c>
      <c r="H44" s="40">
        <v>57177.19</v>
      </c>
      <c r="I44" s="40">
        <v>15900.07</v>
      </c>
      <c r="J44" s="3">
        <f t="shared" si="3"/>
        <v>26799.940000000002</v>
      </c>
      <c r="K44" s="3">
        <f t="shared" si="4"/>
        <v>41337.19</v>
      </c>
      <c r="L44" s="3">
        <f t="shared" si="5"/>
        <v>-46964.81</v>
      </c>
      <c r="M44" s="3">
        <f t="shared" si="6"/>
        <v>7900.07</v>
      </c>
      <c r="N44" s="45">
        <f t="shared" si="10"/>
        <v>1.882237200536586</v>
      </c>
      <c r="O44" s="45">
        <f t="shared" si="11"/>
        <v>3.609671085858586</v>
      </c>
      <c r="P44" s="45">
        <f t="shared" si="12"/>
        <v>0.5490310345489812</v>
      </c>
    </row>
    <row r="45" spans="1:16" ht="27.75" customHeight="1">
      <c r="A45" s="111"/>
      <c r="B45" s="98"/>
      <c r="C45" s="9" t="s">
        <v>45</v>
      </c>
      <c r="D45" s="39">
        <v>15582.18</v>
      </c>
      <c r="E45" s="3">
        <v>45272.2</v>
      </c>
      <c r="F45" s="3">
        <v>5400</v>
      </c>
      <c r="G45" s="3">
        <v>2200</v>
      </c>
      <c r="H45" s="39">
        <v>18808.45</v>
      </c>
      <c r="I45" s="39">
        <v>6108.17</v>
      </c>
      <c r="J45" s="3">
        <f t="shared" si="3"/>
        <v>3226.2700000000004</v>
      </c>
      <c r="K45" s="3">
        <f t="shared" si="4"/>
        <v>13408.45</v>
      </c>
      <c r="L45" s="3">
        <f t="shared" si="5"/>
        <v>-26463.749999999996</v>
      </c>
      <c r="M45" s="3">
        <f t="shared" si="6"/>
        <v>3908.17</v>
      </c>
      <c r="N45" s="45">
        <f t="shared" si="10"/>
        <v>1.207048692801649</v>
      </c>
      <c r="O45" s="45">
        <f t="shared" si="11"/>
        <v>3.4830462962962963</v>
      </c>
      <c r="P45" s="45">
        <f t="shared" si="12"/>
        <v>0.41545252936680793</v>
      </c>
    </row>
    <row r="46" spans="1:16" ht="15.75">
      <c r="A46" s="111"/>
      <c r="B46" s="111"/>
      <c r="C46" s="60" t="s">
        <v>9</v>
      </c>
      <c r="D46" s="30">
        <f aca="true" t="shared" si="13" ref="D46:I46">SUM(D38:D45)</f>
        <v>160531.84</v>
      </c>
      <c r="E46" s="30">
        <f t="shared" si="13"/>
        <v>776287.3200000001</v>
      </c>
      <c r="F46" s="30">
        <f t="shared" si="13"/>
        <v>172292.8</v>
      </c>
      <c r="G46" s="30">
        <f t="shared" si="13"/>
        <v>79852.3</v>
      </c>
      <c r="H46" s="30">
        <f t="shared" si="13"/>
        <v>225425.23000000004</v>
      </c>
      <c r="I46" s="30">
        <f t="shared" si="13"/>
        <v>75796.96</v>
      </c>
      <c r="J46" s="30">
        <f t="shared" si="3"/>
        <v>64893.39000000004</v>
      </c>
      <c r="K46" s="30">
        <f t="shared" si="4"/>
        <v>53132.43000000005</v>
      </c>
      <c r="L46" s="30">
        <f t="shared" si="5"/>
        <v>-550862.0900000001</v>
      </c>
      <c r="M46" s="30">
        <f t="shared" si="6"/>
        <v>-4055.3399999999965</v>
      </c>
      <c r="N46" s="45">
        <f t="shared" si="10"/>
        <v>1.4042399937607395</v>
      </c>
      <c r="O46" s="45">
        <f t="shared" si="11"/>
        <v>1.3083845059108683</v>
      </c>
      <c r="P46" s="45">
        <f t="shared" si="12"/>
        <v>0.2903889116725493</v>
      </c>
    </row>
    <row r="47" spans="1:16" ht="15.75">
      <c r="A47" s="111" t="s">
        <v>46</v>
      </c>
      <c r="B47" s="98" t="s">
        <v>47</v>
      </c>
      <c r="C47" s="7" t="s">
        <v>28</v>
      </c>
      <c r="D47" s="39"/>
      <c r="E47" s="3">
        <v>4487</v>
      </c>
      <c r="F47" s="3">
        <f>G47</f>
        <v>0</v>
      </c>
      <c r="G47" s="3">
        <v>0</v>
      </c>
      <c r="H47" s="39">
        <v>2731.14</v>
      </c>
      <c r="I47" s="39">
        <v>2731.14</v>
      </c>
      <c r="J47" s="8">
        <f t="shared" si="3"/>
        <v>2731.14</v>
      </c>
      <c r="K47" s="8">
        <f t="shared" si="4"/>
        <v>2731.14</v>
      </c>
      <c r="L47" s="8">
        <f t="shared" si="5"/>
        <v>-1755.8600000000001</v>
      </c>
      <c r="M47" s="8">
        <f t="shared" si="6"/>
        <v>2731.14</v>
      </c>
      <c r="N47" s="45">
        <f t="shared" si="10"/>
      </c>
      <c r="O47" s="45">
        <f t="shared" si="11"/>
      </c>
      <c r="P47" s="45">
        <f t="shared" si="12"/>
        <v>0.6086784042790283</v>
      </c>
    </row>
    <row r="48" spans="1:16" ht="15.75">
      <c r="A48" s="111"/>
      <c r="B48" s="98"/>
      <c r="C48" s="61" t="s">
        <v>9</v>
      </c>
      <c r="D48" s="30">
        <v>0</v>
      </c>
      <c r="E48" s="62">
        <f>SUM(E47:E47)</f>
        <v>4487</v>
      </c>
      <c r="F48" s="62">
        <f>SUM(F47:F47)</f>
        <v>0</v>
      </c>
      <c r="G48" s="62">
        <f>SUM(G47:G47)</f>
        <v>0</v>
      </c>
      <c r="H48" s="62">
        <v>2731.14</v>
      </c>
      <c r="I48" s="62">
        <v>2731.14</v>
      </c>
      <c r="J48" s="63">
        <f t="shared" si="3"/>
        <v>2731.14</v>
      </c>
      <c r="K48" s="63">
        <f t="shared" si="4"/>
        <v>2731.14</v>
      </c>
      <c r="L48" s="63">
        <f t="shared" si="5"/>
        <v>-1755.8600000000001</v>
      </c>
      <c r="M48" s="63">
        <f t="shared" si="6"/>
        <v>2731.14</v>
      </c>
      <c r="N48" s="45">
        <f t="shared" si="10"/>
      </c>
      <c r="O48" s="45">
        <f t="shared" si="11"/>
      </c>
      <c r="P48" s="45">
        <f t="shared" si="12"/>
        <v>0.6086784042790283</v>
      </c>
    </row>
    <row r="49" spans="1:16" ht="15.75">
      <c r="A49" s="103"/>
      <c r="B49" s="106"/>
      <c r="C49" s="16" t="s">
        <v>83</v>
      </c>
      <c r="D49" s="39">
        <v>98464.27</v>
      </c>
      <c r="E49" s="3">
        <v>537127.7</v>
      </c>
      <c r="F49" s="3">
        <v>122528.59999999999</v>
      </c>
      <c r="G49" s="3">
        <v>44219.6</v>
      </c>
      <c r="H49" s="39">
        <v>144547.03</v>
      </c>
      <c r="I49" s="39">
        <v>50107.87</v>
      </c>
      <c r="J49" s="8">
        <f t="shared" si="3"/>
        <v>46082.759999999995</v>
      </c>
      <c r="K49" s="8">
        <f t="shared" si="4"/>
        <v>22018.430000000008</v>
      </c>
      <c r="L49" s="8">
        <f t="shared" si="5"/>
        <v>-392580.6699999999</v>
      </c>
      <c r="M49" s="8">
        <f t="shared" si="6"/>
        <v>5888.270000000004</v>
      </c>
      <c r="N49" s="45">
        <f t="shared" si="10"/>
        <v>1.4680150474887996</v>
      </c>
      <c r="O49" s="45">
        <f t="shared" si="11"/>
        <v>1.179700331187984</v>
      </c>
      <c r="P49" s="45">
        <f t="shared" si="12"/>
        <v>0.2691111070979955</v>
      </c>
    </row>
    <row r="50" spans="1:16" ht="15.75">
      <c r="A50" s="118"/>
      <c r="B50" s="119"/>
      <c r="C50" s="16" t="s">
        <v>77</v>
      </c>
      <c r="D50" s="39">
        <v>71059.13</v>
      </c>
      <c r="E50" s="39">
        <v>354489</v>
      </c>
      <c r="F50" s="39">
        <v>92821.6</v>
      </c>
      <c r="G50" s="39">
        <v>30416.9</v>
      </c>
      <c r="H50" s="39">
        <v>84661.08</v>
      </c>
      <c r="I50" s="39">
        <v>26429.88</v>
      </c>
      <c r="J50" s="17">
        <f t="shared" si="3"/>
        <v>13601.949999999997</v>
      </c>
      <c r="K50" s="17">
        <f t="shared" si="4"/>
        <v>-8160.520000000004</v>
      </c>
      <c r="L50" s="17">
        <f t="shared" si="5"/>
        <v>-269827.92</v>
      </c>
      <c r="M50" s="17">
        <f t="shared" si="6"/>
        <v>-3987.0200000000004</v>
      </c>
      <c r="N50" s="45">
        <f t="shared" si="10"/>
        <v>1.1914173449632721</v>
      </c>
      <c r="O50" s="45">
        <f t="shared" si="11"/>
        <v>0.9120838253165211</v>
      </c>
      <c r="P50" s="45">
        <f t="shared" si="12"/>
        <v>0.23882568993678224</v>
      </c>
    </row>
    <row r="51" spans="1:16" ht="31.5">
      <c r="A51" s="103"/>
      <c r="B51" s="106"/>
      <c r="C51" s="16" t="s">
        <v>78</v>
      </c>
      <c r="D51" s="39">
        <v>829473.85</v>
      </c>
      <c r="E51" s="5">
        <f>3510723.4+35171.1</f>
        <v>3545894.5</v>
      </c>
      <c r="F51" s="5">
        <v>746501.5</v>
      </c>
      <c r="G51" s="5">
        <v>285700.8</v>
      </c>
      <c r="H51" s="39">
        <v>898117.66</v>
      </c>
      <c r="I51" s="39">
        <v>340883.61</v>
      </c>
      <c r="J51" s="8">
        <f t="shared" si="3"/>
        <v>68643.81000000006</v>
      </c>
      <c r="K51" s="8">
        <f t="shared" si="4"/>
        <v>151616.16000000003</v>
      </c>
      <c r="L51" s="8">
        <f t="shared" si="5"/>
        <v>-2647776.84</v>
      </c>
      <c r="M51" s="8">
        <f t="shared" si="6"/>
        <v>55182.81</v>
      </c>
      <c r="N51" s="45">
        <f t="shared" si="10"/>
        <v>1.0827558457689777</v>
      </c>
      <c r="O51" s="45">
        <f t="shared" si="11"/>
        <v>1.203102284456227</v>
      </c>
      <c r="P51" s="45">
        <f t="shared" si="12"/>
        <v>0.2532838075131677</v>
      </c>
    </row>
    <row r="52" spans="1:16" ht="31.5">
      <c r="A52" s="118"/>
      <c r="B52" s="119"/>
      <c r="C52" s="16" t="s">
        <v>79</v>
      </c>
      <c r="D52" s="39">
        <v>908.55</v>
      </c>
      <c r="E52" s="3"/>
      <c r="F52" s="3"/>
      <c r="G52" s="3"/>
      <c r="H52" s="39">
        <v>357.02</v>
      </c>
      <c r="I52" s="39">
        <v>121.27</v>
      </c>
      <c r="J52" s="8">
        <f t="shared" si="3"/>
        <v>-551.53</v>
      </c>
      <c r="K52" s="8">
        <f t="shared" si="4"/>
        <v>357.02</v>
      </c>
      <c r="L52" s="8">
        <f t="shared" si="5"/>
        <v>357.02</v>
      </c>
      <c r="M52" s="8">
        <f t="shared" si="6"/>
        <v>121.27</v>
      </c>
      <c r="N52" s="45">
        <f t="shared" si="10"/>
        <v>0.3929558087061802</v>
      </c>
      <c r="O52" s="45">
        <f t="shared" si="11"/>
      </c>
      <c r="P52" s="45">
        <f t="shared" si="12"/>
      </c>
    </row>
    <row r="53" spans="1:16" ht="15.75">
      <c r="A53" s="103"/>
      <c r="B53" s="106"/>
      <c r="C53" s="64" t="s">
        <v>9</v>
      </c>
      <c r="D53" s="65">
        <f aca="true" t="shared" si="14" ref="D53:I53">SUM(D49:D52)</f>
        <v>999905.8</v>
      </c>
      <c r="E53" s="65">
        <f t="shared" si="14"/>
        <v>4437511.2</v>
      </c>
      <c r="F53" s="65">
        <f t="shared" si="14"/>
        <v>961851.7</v>
      </c>
      <c r="G53" s="65">
        <f t="shared" si="14"/>
        <v>360337.3</v>
      </c>
      <c r="H53" s="65">
        <f t="shared" si="14"/>
        <v>1127682.79</v>
      </c>
      <c r="I53" s="65">
        <f t="shared" si="14"/>
        <v>417542.63</v>
      </c>
      <c r="J53" s="65">
        <f t="shared" si="3"/>
        <v>127776.98999999999</v>
      </c>
      <c r="K53" s="65">
        <f t="shared" si="4"/>
        <v>165831.09000000008</v>
      </c>
      <c r="L53" s="65">
        <f t="shared" si="5"/>
        <v>-3309828.41</v>
      </c>
      <c r="M53" s="65">
        <f t="shared" si="6"/>
        <v>57205.330000000016</v>
      </c>
      <c r="N53" s="45">
        <f t="shared" si="10"/>
        <v>1.1277890277264118</v>
      </c>
      <c r="O53" s="45">
        <f t="shared" si="11"/>
        <v>1.1724081685357526</v>
      </c>
      <c r="P53" s="45">
        <f t="shared" si="12"/>
        <v>0.2541250577576007</v>
      </c>
    </row>
    <row r="54" spans="1:16" ht="15.75">
      <c r="A54" s="120">
        <v>991</v>
      </c>
      <c r="B54" s="120" t="s">
        <v>50</v>
      </c>
      <c r="C54" s="9" t="s">
        <v>51</v>
      </c>
      <c r="D54" s="40">
        <v>12957.44</v>
      </c>
      <c r="E54" s="5">
        <v>54298.2</v>
      </c>
      <c r="F54" s="5">
        <v>12500</v>
      </c>
      <c r="G54" s="5">
        <v>4500</v>
      </c>
      <c r="H54" s="40">
        <v>13469.49</v>
      </c>
      <c r="I54" s="40">
        <v>5497.37</v>
      </c>
      <c r="J54" s="5">
        <f t="shared" si="3"/>
        <v>512.0499999999993</v>
      </c>
      <c r="K54" s="5">
        <f t="shared" si="4"/>
        <v>969.4899999999998</v>
      </c>
      <c r="L54" s="5">
        <f t="shared" si="5"/>
        <v>-40828.71</v>
      </c>
      <c r="M54" s="5">
        <f t="shared" si="6"/>
        <v>997.3699999999999</v>
      </c>
      <c r="N54" s="45">
        <f t="shared" si="10"/>
        <v>1.0395178368566629</v>
      </c>
      <c r="O54" s="45">
        <f t="shared" si="11"/>
        <v>1.0775592</v>
      </c>
      <c r="P54" s="45">
        <f t="shared" si="12"/>
        <v>0.24806512923080323</v>
      </c>
    </row>
    <row r="55" spans="1:16" ht="15.75">
      <c r="A55" s="120"/>
      <c r="B55" s="120"/>
      <c r="C55" s="7" t="s">
        <v>52</v>
      </c>
      <c r="D55" s="40">
        <v>1849</v>
      </c>
      <c r="E55" s="5"/>
      <c r="F55" s="5"/>
      <c r="G55" s="5"/>
      <c r="H55" s="40">
        <v>2263.47</v>
      </c>
      <c r="I55" s="40">
        <v>2263.47</v>
      </c>
      <c r="J55" s="5">
        <f t="shared" si="3"/>
        <v>414.4699999999998</v>
      </c>
      <c r="K55" s="5">
        <f t="shared" si="4"/>
        <v>2263.47</v>
      </c>
      <c r="L55" s="5">
        <f t="shared" si="5"/>
        <v>2263.47</v>
      </c>
      <c r="M55" s="5">
        <f t="shared" si="6"/>
        <v>2263.47</v>
      </c>
      <c r="N55" s="48">
        <f t="shared" si="10"/>
        <v>1.2241590048674957</v>
      </c>
      <c r="O55" s="48">
        <f t="shared" si="11"/>
      </c>
      <c r="P55" s="48">
        <f t="shared" si="12"/>
      </c>
    </row>
    <row r="56" spans="1:16" ht="15.75">
      <c r="A56" s="120"/>
      <c r="B56" s="120"/>
      <c r="C56" s="60" t="s">
        <v>9</v>
      </c>
      <c r="D56" s="30">
        <f aca="true" t="shared" si="15" ref="D56:I56">SUM(D54:D55)</f>
        <v>14806.44</v>
      </c>
      <c r="E56" s="30">
        <f t="shared" si="15"/>
        <v>54298.2</v>
      </c>
      <c r="F56" s="30">
        <f t="shared" si="15"/>
        <v>12500</v>
      </c>
      <c r="G56" s="30">
        <f t="shared" si="15"/>
        <v>4500</v>
      </c>
      <c r="H56" s="30">
        <f t="shared" si="15"/>
        <v>15732.96</v>
      </c>
      <c r="I56" s="30">
        <f t="shared" si="15"/>
        <v>7760.84</v>
      </c>
      <c r="J56" s="30">
        <f t="shared" si="3"/>
        <v>926.5199999999986</v>
      </c>
      <c r="K56" s="30">
        <f t="shared" si="4"/>
        <v>3232.959999999999</v>
      </c>
      <c r="L56" s="30">
        <f t="shared" si="5"/>
        <v>-38565.24</v>
      </c>
      <c r="M56" s="30">
        <f t="shared" si="6"/>
        <v>3260.84</v>
      </c>
      <c r="N56" s="59">
        <f t="shared" si="10"/>
        <v>1.0625754739154043</v>
      </c>
      <c r="O56" s="59">
        <f t="shared" si="11"/>
        <v>1.2586368</v>
      </c>
      <c r="P56" s="59">
        <f t="shared" si="12"/>
        <v>0.289751041470988</v>
      </c>
    </row>
    <row r="57" spans="1:16" ht="15.75">
      <c r="A57" s="111" t="s">
        <v>53</v>
      </c>
      <c r="B57" s="98" t="s">
        <v>54</v>
      </c>
      <c r="C57" s="7" t="s">
        <v>55</v>
      </c>
      <c r="D57" s="40">
        <v>916.2400000000002</v>
      </c>
      <c r="E57" s="5">
        <v>7767.5</v>
      </c>
      <c r="F57" s="5">
        <v>1870.6</v>
      </c>
      <c r="G57" s="5">
        <v>1561.3999999999999</v>
      </c>
      <c r="H57" s="38">
        <v>4852.02</v>
      </c>
      <c r="I57" s="38">
        <v>3994.47</v>
      </c>
      <c r="J57" s="5">
        <f t="shared" si="3"/>
        <v>3935.78</v>
      </c>
      <c r="K57" s="5">
        <f t="shared" si="4"/>
        <v>2981.4200000000005</v>
      </c>
      <c r="L57" s="5">
        <f t="shared" si="5"/>
        <v>-2915.4799999999996</v>
      </c>
      <c r="M57" s="5">
        <f t="shared" si="6"/>
        <v>2433.0699999999997</v>
      </c>
      <c r="N57" s="45">
        <f t="shared" si="10"/>
        <v>5.29557757792718</v>
      </c>
      <c r="O57" s="45">
        <f t="shared" si="11"/>
        <v>2.5938308564097086</v>
      </c>
      <c r="P57" s="45">
        <f t="shared" si="12"/>
        <v>0.6246565819118121</v>
      </c>
    </row>
    <row r="58" spans="1:16" ht="15.75">
      <c r="A58" s="111"/>
      <c r="B58" s="98"/>
      <c r="C58" s="60" t="s">
        <v>9</v>
      </c>
      <c r="D58" s="30">
        <f aca="true" t="shared" si="16" ref="D58:J58">D57</f>
        <v>916.2400000000002</v>
      </c>
      <c r="E58" s="30">
        <f t="shared" si="16"/>
        <v>7767.5</v>
      </c>
      <c r="F58" s="30">
        <f t="shared" si="16"/>
        <v>1870.6</v>
      </c>
      <c r="G58" s="30">
        <f t="shared" si="16"/>
        <v>1561.3999999999999</v>
      </c>
      <c r="H58" s="30">
        <f t="shared" si="16"/>
        <v>4852.02</v>
      </c>
      <c r="I58" s="30">
        <f t="shared" si="16"/>
        <v>3994.47</v>
      </c>
      <c r="J58" s="67">
        <f t="shared" si="16"/>
        <v>3935.78</v>
      </c>
      <c r="K58" s="67">
        <f t="shared" si="4"/>
        <v>2981.4200000000005</v>
      </c>
      <c r="L58" s="67">
        <f t="shared" si="5"/>
        <v>-2915.4799999999996</v>
      </c>
      <c r="M58" s="67">
        <f t="shared" si="6"/>
        <v>2433.0699999999997</v>
      </c>
      <c r="N58" s="59">
        <f t="shared" si="10"/>
        <v>5.29557757792718</v>
      </c>
      <c r="O58" s="59">
        <f t="shared" si="11"/>
        <v>2.5938308564097086</v>
      </c>
      <c r="P58" s="59">
        <f t="shared" si="12"/>
        <v>0.6246565819118121</v>
      </c>
    </row>
    <row r="59" spans="1:16" ht="15.75">
      <c r="A59" s="98"/>
      <c r="B59" s="98" t="s">
        <v>56</v>
      </c>
      <c r="C59" s="10" t="s">
        <v>57</v>
      </c>
      <c r="D59" s="40">
        <v>288.61</v>
      </c>
      <c r="E59" s="5">
        <v>41.2</v>
      </c>
      <c r="F59" s="5">
        <v>26.700000000000003</v>
      </c>
      <c r="G59" s="5">
        <v>8.9</v>
      </c>
      <c r="H59" s="38">
        <v>61.84</v>
      </c>
      <c r="I59" s="38">
        <v>25.61</v>
      </c>
      <c r="J59" s="5">
        <f aca="true" t="shared" si="17" ref="J59:J77">H59-D59</f>
        <v>-226.77</v>
      </c>
      <c r="K59" s="5">
        <f t="shared" si="4"/>
        <v>35.14</v>
      </c>
      <c r="L59" s="5">
        <f t="shared" si="5"/>
        <v>20.64</v>
      </c>
      <c r="M59" s="5">
        <f t="shared" si="6"/>
        <v>16.71</v>
      </c>
      <c r="N59" s="45">
        <f t="shared" si="10"/>
        <v>0.2142683898686809</v>
      </c>
      <c r="O59" s="45">
        <f t="shared" si="11"/>
        <v>2.3161048689138575</v>
      </c>
      <c r="P59" s="45">
        <f t="shared" si="12"/>
        <v>1.5009708737864078</v>
      </c>
    </row>
    <row r="60" spans="1:16" ht="15.75">
      <c r="A60" s="116"/>
      <c r="B60" s="116"/>
      <c r="C60" s="7" t="s">
        <v>93</v>
      </c>
      <c r="D60" s="18">
        <v>42.99</v>
      </c>
      <c r="E60" s="18">
        <v>47.1</v>
      </c>
      <c r="F60" s="18">
        <v>47.1</v>
      </c>
      <c r="G60" s="18">
        <v>0</v>
      </c>
      <c r="H60" s="42">
        <v>7.77000000000001</v>
      </c>
      <c r="I60" s="42">
        <v>170.71</v>
      </c>
      <c r="J60" s="18">
        <f t="shared" si="17"/>
        <v>-35.21999999999999</v>
      </c>
      <c r="K60" s="18">
        <f t="shared" si="4"/>
        <v>-39.32999999999999</v>
      </c>
      <c r="L60" s="18">
        <f t="shared" si="5"/>
        <v>-39.32999999999999</v>
      </c>
      <c r="M60" s="18">
        <f t="shared" si="6"/>
        <v>170.71</v>
      </c>
      <c r="N60" s="45">
        <f t="shared" si="10"/>
        <v>0.18073970690858362</v>
      </c>
      <c r="O60" s="45">
        <f t="shared" si="11"/>
        <v>0.16496815286624225</v>
      </c>
      <c r="P60" s="45">
        <f t="shared" si="12"/>
        <v>0.16496815286624225</v>
      </c>
    </row>
    <row r="61" spans="1:16" ht="15.75">
      <c r="A61" s="98"/>
      <c r="B61" s="98"/>
      <c r="C61" s="7" t="s">
        <v>28</v>
      </c>
      <c r="D61" s="40"/>
      <c r="E61" s="5">
        <v>6100</v>
      </c>
      <c r="F61" s="5">
        <f>G61</f>
        <v>0</v>
      </c>
      <c r="G61" s="5">
        <v>0</v>
      </c>
      <c r="H61" s="38">
        <v>0</v>
      </c>
      <c r="I61" s="38">
        <v>0</v>
      </c>
      <c r="J61" s="5">
        <f t="shared" si="17"/>
        <v>0</v>
      </c>
      <c r="K61" s="5">
        <f t="shared" si="4"/>
        <v>0</v>
      </c>
      <c r="L61" s="5">
        <f t="shared" si="5"/>
        <v>-6100</v>
      </c>
      <c r="M61" s="5">
        <f t="shared" si="6"/>
        <v>0</v>
      </c>
      <c r="N61" s="45">
        <f t="shared" si="10"/>
      </c>
      <c r="O61" s="45">
        <f t="shared" si="11"/>
      </c>
      <c r="P61" s="45">
        <f t="shared" si="12"/>
        <v>0</v>
      </c>
    </row>
    <row r="62" spans="1:16" ht="31.5">
      <c r="A62" s="98"/>
      <c r="B62" s="98"/>
      <c r="C62" s="7" t="s">
        <v>48</v>
      </c>
      <c r="D62" s="40">
        <v>4374.070000000313</v>
      </c>
      <c r="E62" s="3">
        <v>680.5</v>
      </c>
      <c r="F62" s="3">
        <v>150</v>
      </c>
      <c r="G62" s="3">
        <v>50</v>
      </c>
      <c r="H62" s="40">
        <v>12968.8</v>
      </c>
      <c r="I62" s="40">
        <v>1293.3099999999465</v>
      </c>
      <c r="J62" s="3">
        <f t="shared" si="17"/>
        <v>8594.729999999687</v>
      </c>
      <c r="K62" s="3">
        <f t="shared" si="4"/>
        <v>12818.8</v>
      </c>
      <c r="L62" s="3">
        <f t="shared" si="5"/>
        <v>12288.3</v>
      </c>
      <c r="M62" s="3">
        <f t="shared" si="6"/>
        <v>1243.3099999999465</v>
      </c>
      <c r="N62" s="45">
        <f t="shared" si="10"/>
        <v>2.964927401710323</v>
      </c>
      <c r="O62" s="45">
        <f t="shared" si="11"/>
        <v>86.45866666666666</v>
      </c>
      <c r="P62" s="45">
        <f t="shared" si="12"/>
        <v>19.057751653196178</v>
      </c>
    </row>
    <row r="63" spans="1:16" ht="15.75">
      <c r="A63" s="98"/>
      <c r="B63" s="98"/>
      <c r="C63" s="7" t="s">
        <v>49</v>
      </c>
      <c r="D63" s="39">
        <v>23263.350000000013</v>
      </c>
      <c r="E63" s="3">
        <f>86939.9+8662.9</f>
        <v>95602.79999999999</v>
      </c>
      <c r="F63" s="3">
        <f>17892.3+1500</f>
        <v>19392.3</v>
      </c>
      <c r="G63" s="3">
        <f>9125.8+1500</f>
        <v>10625.8</v>
      </c>
      <c r="H63" s="87">
        <v>23310.08</v>
      </c>
      <c r="I63" s="87">
        <f>10456.6+7.51</f>
        <v>10464.11</v>
      </c>
      <c r="J63" s="3">
        <f t="shared" si="17"/>
        <v>46.72999999998865</v>
      </c>
      <c r="K63" s="3">
        <f t="shared" si="4"/>
        <v>3917.7800000000025</v>
      </c>
      <c r="L63" s="3">
        <f t="shared" si="5"/>
        <v>-72292.71999999999</v>
      </c>
      <c r="M63" s="3">
        <f t="shared" si="6"/>
        <v>-161.6899999999987</v>
      </c>
      <c r="N63" s="45">
        <f t="shared" si="10"/>
        <v>1.0020087390681045</v>
      </c>
      <c r="O63" s="45">
        <f t="shared" si="11"/>
        <v>1.2020276088963147</v>
      </c>
      <c r="P63" s="45">
        <f t="shared" si="12"/>
        <v>0.24382214746848424</v>
      </c>
    </row>
    <row r="64" spans="1:16" ht="15.75">
      <c r="A64" s="98"/>
      <c r="B64" s="98"/>
      <c r="C64" s="7" t="s">
        <v>58</v>
      </c>
      <c r="D64" s="39">
        <v>64.13</v>
      </c>
      <c r="E64" s="3"/>
      <c r="F64" s="3"/>
      <c r="G64" s="3"/>
      <c r="H64" s="87">
        <v>-5656.67</v>
      </c>
      <c r="I64" s="87">
        <v>-688.0999999999999</v>
      </c>
      <c r="J64" s="3">
        <f t="shared" si="17"/>
        <v>-5720.8</v>
      </c>
      <c r="K64" s="3">
        <f t="shared" si="4"/>
        <v>-5656.67</v>
      </c>
      <c r="L64" s="3">
        <f t="shared" si="5"/>
        <v>-5656.67</v>
      </c>
      <c r="M64" s="3">
        <f t="shared" si="6"/>
        <v>-688.0999999999999</v>
      </c>
      <c r="N64" s="45">
        <f aca="true" t="shared" si="18" ref="N64:N78">_xlfn.IFERROR(H64/D64,"")</f>
        <v>-88.20629970372681</v>
      </c>
      <c r="O64" s="45">
        <f aca="true" t="shared" si="19" ref="O64:O78">_xlfn.IFERROR(H64/F64,"")</f>
      </c>
      <c r="P64" s="45">
        <f aca="true" t="shared" si="20" ref="P64:P78">_xlfn.IFERROR(H64/E64,"")</f>
      </c>
    </row>
    <row r="65" spans="1:16" ht="15.75">
      <c r="A65" s="98"/>
      <c r="B65" s="98"/>
      <c r="C65" s="7" t="s">
        <v>40</v>
      </c>
      <c r="D65" s="39">
        <f>7121.24+45.33</f>
        <v>7166.57</v>
      </c>
      <c r="E65" s="3">
        <v>16333.1</v>
      </c>
      <c r="F65" s="3">
        <v>1000</v>
      </c>
      <c r="G65" s="3">
        <v>350</v>
      </c>
      <c r="H65" s="87">
        <f>19094.02+108.17</f>
        <v>19202.19</v>
      </c>
      <c r="I65" s="87">
        <f>10281.52-7.5</f>
        <v>10274.02</v>
      </c>
      <c r="J65" s="3">
        <f t="shared" si="17"/>
        <v>12035.619999999999</v>
      </c>
      <c r="K65" s="3">
        <f aca="true" t="shared" si="21" ref="K65:K78">H65-F65</f>
        <v>18202.19</v>
      </c>
      <c r="L65" s="3">
        <f aca="true" t="shared" si="22" ref="L65:L78">H65-E65</f>
        <v>2869.0899999999983</v>
      </c>
      <c r="M65" s="3">
        <f aca="true" t="shared" si="23" ref="M65:M78">I65-G65</f>
        <v>9924.02</v>
      </c>
      <c r="N65" s="45">
        <f t="shared" si="18"/>
        <v>2.679411489736373</v>
      </c>
      <c r="O65" s="45">
        <f t="shared" si="19"/>
        <v>19.202189999999998</v>
      </c>
      <c r="P65" s="45">
        <f t="shared" si="20"/>
        <v>1.1756610808725838</v>
      </c>
    </row>
    <row r="66" spans="1:16" ht="15.75">
      <c r="A66" s="130"/>
      <c r="B66" s="130"/>
      <c r="C66" s="7" t="s">
        <v>95</v>
      </c>
      <c r="D66" s="39">
        <v>1632.71</v>
      </c>
      <c r="E66" s="3">
        <v>0</v>
      </c>
      <c r="F66" s="3">
        <f>G66</f>
        <v>0</v>
      </c>
      <c r="G66" s="3">
        <v>0</v>
      </c>
      <c r="H66" s="39">
        <v>373.58</v>
      </c>
      <c r="I66" s="39">
        <v>290</v>
      </c>
      <c r="J66" s="3">
        <f t="shared" si="17"/>
        <v>-1259.13</v>
      </c>
      <c r="K66" s="3">
        <f t="shared" si="21"/>
        <v>373.58</v>
      </c>
      <c r="L66" s="3">
        <f t="shared" si="22"/>
        <v>373.58</v>
      </c>
      <c r="M66" s="3">
        <f t="shared" si="23"/>
        <v>290</v>
      </c>
      <c r="N66" s="45">
        <f t="shared" si="18"/>
        <v>0.2288097702592622</v>
      </c>
      <c r="O66" s="45">
        <f t="shared" si="19"/>
      </c>
      <c r="P66" s="45">
        <f t="shared" si="20"/>
      </c>
    </row>
    <row r="67" spans="1:16" ht="15.75">
      <c r="A67" s="98"/>
      <c r="B67" s="98"/>
      <c r="C67" s="60" t="s">
        <v>59</v>
      </c>
      <c r="D67" s="30">
        <f>SUM(D59:D66)</f>
        <v>36832.43000000032</v>
      </c>
      <c r="E67" s="30">
        <f>SUM(E59:E66)</f>
        <v>118804.7</v>
      </c>
      <c r="F67" s="30">
        <f>SUM(F59:F66)</f>
        <v>20616.1</v>
      </c>
      <c r="G67" s="30">
        <f>SUM(G59:G66)</f>
        <v>11034.699999999999</v>
      </c>
      <c r="H67" s="30">
        <f>SUM(H59:H66)</f>
        <v>50267.59000000001</v>
      </c>
      <c r="I67" s="30">
        <f>SUM(I59:I66)</f>
        <v>21829.659999999945</v>
      </c>
      <c r="J67" s="67">
        <f t="shared" si="17"/>
        <v>13435.15999999969</v>
      </c>
      <c r="K67" s="67">
        <f t="shared" si="21"/>
        <v>29651.490000000013</v>
      </c>
      <c r="L67" s="67">
        <f t="shared" si="22"/>
        <v>-68537.10999999999</v>
      </c>
      <c r="M67" s="67">
        <f t="shared" si="23"/>
        <v>10794.959999999946</v>
      </c>
      <c r="N67" s="59">
        <f t="shared" si="18"/>
        <v>1.3647644209192706</v>
      </c>
      <c r="O67" s="59">
        <f t="shared" si="19"/>
        <v>2.438268634707826</v>
      </c>
      <c r="P67" s="59">
        <f t="shared" si="20"/>
        <v>0.42311112270810847</v>
      </c>
    </row>
    <row r="68" spans="1:19" ht="25.5" customHeight="1">
      <c r="A68" s="131" t="s">
        <v>60</v>
      </c>
      <c r="B68" s="131"/>
      <c r="C68" s="131"/>
      <c r="D68" s="68">
        <f aca="true" t="shared" si="24" ref="D68:I68">D5+D22</f>
        <v>4865840.609999999</v>
      </c>
      <c r="E68" s="68">
        <f t="shared" si="24"/>
        <v>26089513.020000003</v>
      </c>
      <c r="F68" s="68">
        <f t="shared" si="24"/>
        <v>5001548.699999999</v>
      </c>
      <c r="G68" s="68">
        <f t="shared" si="24"/>
        <v>3401493.5999999996</v>
      </c>
      <c r="H68" s="68">
        <f t="shared" si="24"/>
        <v>4313281.45</v>
      </c>
      <c r="I68" s="68">
        <f t="shared" si="24"/>
        <v>2840135.2600000007</v>
      </c>
      <c r="J68" s="69">
        <f t="shared" si="17"/>
        <v>-552559.1599999992</v>
      </c>
      <c r="K68" s="69">
        <f t="shared" si="21"/>
        <v>-688267.2499999991</v>
      </c>
      <c r="L68" s="69">
        <f t="shared" si="22"/>
        <v>-21776231.570000004</v>
      </c>
      <c r="M68" s="69">
        <f t="shared" si="23"/>
        <v>-561358.3399999989</v>
      </c>
      <c r="N68" s="70">
        <f t="shared" si="18"/>
        <v>0.8864411713642221</v>
      </c>
      <c r="O68" s="70">
        <f t="shared" si="19"/>
        <v>0.8623891735773763</v>
      </c>
      <c r="P68" s="70">
        <f t="shared" si="20"/>
        <v>0.16532625375925855</v>
      </c>
      <c r="R68" s="73"/>
      <c r="S68" s="79"/>
    </row>
    <row r="69" spans="1:16" ht="33" customHeight="1">
      <c r="A69" s="132"/>
      <c r="B69" s="123"/>
      <c r="C69" s="53" t="s">
        <v>61</v>
      </c>
      <c r="D69" s="81">
        <f aca="true" t="shared" si="25" ref="D69:I69">SUM(D70:D77)</f>
        <v>3188730.4</v>
      </c>
      <c r="E69" s="51">
        <f t="shared" si="25"/>
        <v>24219620.78</v>
      </c>
      <c r="F69" s="51">
        <f t="shared" si="25"/>
        <v>4242011.95</v>
      </c>
      <c r="G69" s="51">
        <f t="shared" si="25"/>
        <v>1321940.7700000003</v>
      </c>
      <c r="H69" s="51">
        <f t="shared" si="25"/>
        <v>3830545.3800000004</v>
      </c>
      <c r="I69" s="51">
        <f t="shared" si="25"/>
        <v>1703641.77</v>
      </c>
      <c r="J69" s="54">
        <f t="shared" si="17"/>
        <v>641814.9800000004</v>
      </c>
      <c r="K69" s="54">
        <f t="shared" si="21"/>
        <v>-411466.56999999983</v>
      </c>
      <c r="L69" s="54">
        <f t="shared" si="22"/>
        <v>-20389075.400000002</v>
      </c>
      <c r="M69" s="54">
        <f t="shared" si="23"/>
        <v>381700.99999999977</v>
      </c>
      <c r="N69" s="55">
        <f t="shared" si="18"/>
        <v>1.2012760250913657</v>
      </c>
      <c r="O69" s="55">
        <f t="shared" si="19"/>
        <v>0.903002024782132</v>
      </c>
      <c r="P69" s="55">
        <f t="shared" si="20"/>
        <v>0.15815876783517502</v>
      </c>
    </row>
    <row r="70" spans="1:16" ht="31.5">
      <c r="A70" s="132"/>
      <c r="B70" s="123"/>
      <c r="C70" s="19" t="s">
        <v>62</v>
      </c>
      <c r="D70" s="39">
        <v>79902.6</v>
      </c>
      <c r="E70" s="19">
        <v>384548</v>
      </c>
      <c r="F70" s="3">
        <f>289880</f>
        <v>289880</v>
      </c>
      <c r="G70" s="3">
        <f>31556</f>
        <v>31556</v>
      </c>
      <c r="H70" s="17">
        <v>288577.9</v>
      </c>
      <c r="I70" s="17">
        <v>30253.9</v>
      </c>
      <c r="J70" s="3">
        <f aca="true" t="shared" si="26" ref="J70:J75">H70-D70</f>
        <v>208675.30000000002</v>
      </c>
      <c r="K70" s="3">
        <f>H70-F70</f>
        <v>-1302.0999999999767</v>
      </c>
      <c r="L70" s="3">
        <f>H70-E70</f>
        <v>-95970.09999999998</v>
      </c>
      <c r="M70" s="3">
        <f>I70-G70</f>
        <v>-1302.0999999999985</v>
      </c>
      <c r="N70" s="46">
        <f t="shared" si="18"/>
        <v>3.6116208984438556</v>
      </c>
      <c r="O70" s="46">
        <f t="shared" si="19"/>
        <v>0.9955081412998483</v>
      </c>
      <c r="P70" s="46">
        <f t="shared" si="20"/>
        <v>0.7504340160396102</v>
      </c>
    </row>
    <row r="71" spans="1:16" ht="31.5">
      <c r="A71" s="132"/>
      <c r="B71" s="123"/>
      <c r="C71" s="20" t="s">
        <v>63</v>
      </c>
      <c r="D71" s="39">
        <v>405824.12000000005</v>
      </c>
      <c r="E71" s="93">
        <v>6534340.88</v>
      </c>
      <c r="F71" s="94">
        <v>306736.26</v>
      </c>
      <c r="G71" s="87">
        <v>193247.11000000002</v>
      </c>
      <c r="H71" s="95">
        <v>306736.26</v>
      </c>
      <c r="I71" s="95">
        <v>193247.11000000002</v>
      </c>
      <c r="J71" s="3">
        <f t="shared" si="26"/>
        <v>-99087.86000000004</v>
      </c>
      <c r="K71" s="3">
        <f>H71-F71</f>
        <v>0</v>
      </c>
      <c r="L71" s="3">
        <f>H71-E71</f>
        <v>-6227604.62</v>
      </c>
      <c r="M71" s="3">
        <f>I71-G71</f>
        <v>0</v>
      </c>
      <c r="N71" s="46">
        <f t="shared" si="18"/>
        <v>0.7558354589668056</v>
      </c>
      <c r="O71" s="46">
        <f t="shared" si="19"/>
        <v>1</v>
      </c>
      <c r="P71" s="46">
        <f t="shared" si="20"/>
        <v>0.0469421882991816</v>
      </c>
    </row>
    <row r="72" spans="1:16" ht="31.5">
      <c r="A72" s="132"/>
      <c r="B72" s="123"/>
      <c r="C72" s="20" t="s">
        <v>64</v>
      </c>
      <c r="D72" s="39">
        <v>2034321.26</v>
      </c>
      <c r="E72" s="93">
        <v>11845941.55</v>
      </c>
      <c r="F72" s="94">
        <v>2416061.04</v>
      </c>
      <c r="G72" s="87">
        <v>903726.7</v>
      </c>
      <c r="H72" s="95">
        <v>2126978.38</v>
      </c>
      <c r="I72" s="95">
        <v>903726.7</v>
      </c>
      <c r="J72" s="3">
        <f t="shared" si="26"/>
        <v>92657.11999999988</v>
      </c>
      <c r="K72" s="3">
        <f>H72-F72</f>
        <v>-289082.66000000015</v>
      </c>
      <c r="L72" s="3">
        <f t="shared" si="22"/>
        <v>-9718963.170000002</v>
      </c>
      <c r="M72" s="3">
        <f>I72-G72</f>
        <v>0</v>
      </c>
      <c r="N72" s="46">
        <f t="shared" si="18"/>
        <v>1.0455469457169217</v>
      </c>
      <c r="O72" s="46">
        <f t="shared" si="19"/>
        <v>0.8803496040811949</v>
      </c>
      <c r="P72" s="46">
        <f t="shared" si="20"/>
        <v>0.179553340781088</v>
      </c>
    </row>
    <row r="73" spans="1:16" ht="15.75">
      <c r="A73" s="132"/>
      <c r="B73" s="123"/>
      <c r="C73" s="9" t="s">
        <v>65</v>
      </c>
      <c r="D73" s="39">
        <v>682605.45</v>
      </c>
      <c r="E73" s="93">
        <v>5446783.48</v>
      </c>
      <c r="F73" s="94">
        <v>1221327.78</v>
      </c>
      <c r="G73" s="94">
        <v>185404.09000000003</v>
      </c>
      <c r="H73" s="87">
        <v>1221327.78</v>
      </c>
      <c r="I73" s="87">
        <v>185404.09000000003</v>
      </c>
      <c r="J73" s="3">
        <f t="shared" si="26"/>
        <v>538722.3300000001</v>
      </c>
      <c r="K73" s="3">
        <f>H73-F73</f>
        <v>0</v>
      </c>
      <c r="L73" s="3">
        <f t="shared" si="22"/>
        <v>-4225455.7</v>
      </c>
      <c r="M73" s="3">
        <f t="shared" si="23"/>
        <v>0</v>
      </c>
      <c r="N73" s="46">
        <f t="shared" si="18"/>
        <v>1.7892148092283766</v>
      </c>
      <c r="O73" s="46">
        <f t="shared" si="19"/>
        <v>1</v>
      </c>
      <c r="P73" s="46">
        <f t="shared" si="20"/>
        <v>0.22422917754755325</v>
      </c>
    </row>
    <row r="74" spans="1:16" ht="47.25">
      <c r="A74" s="133"/>
      <c r="B74" s="134"/>
      <c r="C74" s="9" t="s">
        <v>81</v>
      </c>
      <c r="D74" s="39">
        <v>4.06</v>
      </c>
      <c r="E74" s="94"/>
      <c r="F74" s="94">
        <f>G74</f>
        <v>0</v>
      </c>
      <c r="G74" s="94"/>
      <c r="H74" s="87">
        <v>387.89</v>
      </c>
      <c r="I74" s="87">
        <v>0</v>
      </c>
      <c r="J74" s="3">
        <f t="shared" si="26"/>
        <v>383.83</v>
      </c>
      <c r="K74" s="3">
        <f>H74-F74</f>
        <v>387.89</v>
      </c>
      <c r="L74" s="3">
        <f t="shared" si="22"/>
        <v>387.89</v>
      </c>
      <c r="M74" s="3">
        <f t="shared" si="23"/>
        <v>0</v>
      </c>
      <c r="N74" s="47">
        <f>_xlfn.IFERROR(H74/D74,"")</f>
        <v>95.53940886699507</v>
      </c>
      <c r="O74" s="47">
        <f t="shared" si="19"/>
      </c>
      <c r="P74" s="47">
        <f t="shared" si="20"/>
      </c>
    </row>
    <row r="75" spans="1:16" ht="31.5">
      <c r="A75" s="132"/>
      <c r="B75" s="123"/>
      <c r="C75" s="33" t="s">
        <v>66</v>
      </c>
      <c r="D75" s="39">
        <v>0</v>
      </c>
      <c r="E75" s="94"/>
      <c r="F75" s="94"/>
      <c r="G75" s="94"/>
      <c r="H75" s="87">
        <v>0</v>
      </c>
      <c r="I75" s="87">
        <v>0</v>
      </c>
      <c r="J75" s="3">
        <f t="shared" si="26"/>
        <v>0</v>
      </c>
      <c r="K75" s="3">
        <f>H75-F75</f>
        <v>0</v>
      </c>
      <c r="L75" s="3">
        <f>H75-E75</f>
        <v>0</v>
      </c>
      <c r="M75" s="3">
        <f t="shared" si="23"/>
        <v>0</v>
      </c>
      <c r="N75" s="46">
        <f t="shared" si="18"/>
      </c>
      <c r="O75" s="46">
        <f t="shared" si="19"/>
      </c>
      <c r="P75" s="46">
        <f t="shared" si="20"/>
      </c>
    </row>
    <row r="76" spans="1:16" ht="47.25">
      <c r="A76" s="132"/>
      <c r="B76" s="123"/>
      <c r="C76" s="7" t="s">
        <v>67</v>
      </c>
      <c r="D76" s="39">
        <v>322876.01</v>
      </c>
      <c r="E76" s="96">
        <v>8006.87</v>
      </c>
      <c r="F76" s="96">
        <v>8006.87</v>
      </c>
      <c r="G76" s="96">
        <v>8006.87</v>
      </c>
      <c r="H76" s="87">
        <v>159752.75000000003</v>
      </c>
      <c r="I76" s="87">
        <v>-2774.95</v>
      </c>
      <c r="J76" s="3">
        <f t="shared" si="17"/>
        <v>-163123.25999999998</v>
      </c>
      <c r="K76" s="3">
        <f t="shared" si="21"/>
        <v>151745.88000000003</v>
      </c>
      <c r="L76" s="3">
        <f t="shared" si="22"/>
        <v>151745.88000000003</v>
      </c>
      <c r="M76" s="3">
        <f t="shared" si="23"/>
        <v>-10781.82</v>
      </c>
      <c r="N76" s="46">
        <f t="shared" si="18"/>
        <v>0.4947804886464003</v>
      </c>
      <c r="O76" s="46">
        <f t="shared" si="19"/>
        <v>19.951960004346272</v>
      </c>
      <c r="P76" s="46">
        <f t="shared" si="20"/>
        <v>19.951960004346272</v>
      </c>
    </row>
    <row r="77" spans="1:16" ht="15.75">
      <c r="A77" s="132"/>
      <c r="B77" s="123"/>
      <c r="C77" s="7" t="s">
        <v>68</v>
      </c>
      <c r="D77" s="39">
        <v>-336803.1</v>
      </c>
      <c r="E77" s="94"/>
      <c r="F77" s="94"/>
      <c r="G77" s="94"/>
      <c r="H77" s="87">
        <v>-273215.58</v>
      </c>
      <c r="I77" s="87">
        <v>393784.92000000004</v>
      </c>
      <c r="J77" s="3">
        <f t="shared" si="17"/>
        <v>63587.51999999996</v>
      </c>
      <c r="K77" s="3">
        <f t="shared" si="21"/>
        <v>-273215.58</v>
      </c>
      <c r="L77" s="3">
        <f t="shared" si="22"/>
        <v>-273215.58</v>
      </c>
      <c r="M77" s="3">
        <f t="shared" si="23"/>
        <v>393784.92000000004</v>
      </c>
      <c r="N77" s="46">
        <f t="shared" si="18"/>
        <v>0.811202687861246</v>
      </c>
      <c r="O77" s="46">
        <f t="shared" si="19"/>
      </c>
      <c r="P77" s="46">
        <f t="shared" si="20"/>
      </c>
    </row>
    <row r="78" spans="1:16" ht="29.25" customHeight="1">
      <c r="A78" s="129" t="s">
        <v>69</v>
      </c>
      <c r="B78" s="129"/>
      <c r="C78" s="129"/>
      <c r="D78" s="80">
        <f>D68+D69</f>
        <v>8054571.01</v>
      </c>
      <c r="E78" s="97">
        <f>E68+E69</f>
        <v>50309133.800000004</v>
      </c>
      <c r="F78" s="97">
        <f>F68+F69</f>
        <v>9243560.649999999</v>
      </c>
      <c r="G78" s="97">
        <f>G68+G69</f>
        <v>4723434.37</v>
      </c>
      <c r="H78" s="97">
        <f>H68+H69</f>
        <v>8143826.83</v>
      </c>
      <c r="I78" s="97">
        <f>I69+I68</f>
        <v>4543777.030000001</v>
      </c>
      <c r="J78" s="71">
        <f>J68+J69</f>
        <v>89255.82000000123</v>
      </c>
      <c r="K78" s="49">
        <f t="shared" si="21"/>
        <v>-1099733.8199999984</v>
      </c>
      <c r="L78" s="49">
        <f t="shared" si="22"/>
        <v>-42165306.970000006</v>
      </c>
      <c r="M78" s="49">
        <f t="shared" si="23"/>
        <v>-179657.33999999892</v>
      </c>
      <c r="N78" s="70">
        <f t="shared" si="18"/>
        <v>1.0110813871886146</v>
      </c>
      <c r="O78" s="70">
        <f t="shared" si="19"/>
        <v>0.8810270347498614</v>
      </c>
      <c r="P78" s="70">
        <f t="shared" si="20"/>
        <v>0.16187571152338145</v>
      </c>
    </row>
    <row r="79" spans="1:16" ht="15.75">
      <c r="A79" s="21" t="s">
        <v>70</v>
      </c>
      <c r="B79" s="22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6"/>
      <c r="P79" s="25"/>
    </row>
    <row r="80" ht="12.75">
      <c r="D80" s="72"/>
    </row>
  </sheetData>
  <sheetProtection/>
  <autoFilter ref="A4:P80"/>
  <mergeCells count="35">
    <mergeCell ref="A78:C78"/>
    <mergeCell ref="A59:A67"/>
    <mergeCell ref="B59:B67"/>
    <mergeCell ref="A68:C68"/>
    <mergeCell ref="A69:A77"/>
    <mergeCell ref="B69:B77"/>
    <mergeCell ref="A1:P1"/>
    <mergeCell ref="A3:A4"/>
    <mergeCell ref="B3:B4"/>
    <mergeCell ref="C3:C4"/>
    <mergeCell ref="D3:D4"/>
    <mergeCell ref="E3:G3"/>
    <mergeCell ref="O3:O4"/>
    <mergeCell ref="P3:P4"/>
    <mergeCell ref="A57:A58"/>
    <mergeCell ref="B57:B58"/>
    <mergeCell ref="A30:A37"/>
    <mergeCell ref="B30:B37"/>
    <mergeCell ref="A38:A46"/>
    <mergeCell ref="B38:B46"/>
    <mergeCell ref="A47:A48"/>
    <mergeCell ref="B47:B48"/>
    <mergeCell ref="A49:A53"/>
    <mergeCell ref="B49:B53"/>
    <mergeCell ref="A54:A56"/>
    <mergeCell ref="B54:B56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.15748031496062992" right="0.15748031496062992" top="0.5118110236220472" bottom="0.1968503937007874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2023-04-05T05:21:17Z</cp:lastPrinted>
  <dcterms:created xsi:type="dcterms:W3CDTF">2015-02-26T11:08:47Z</dcterms:created>
  <dcterms:modified xsi:type="dcterms:W3CDTF">2023-04-05T09:15:11Z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