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01.05.2023" sheetId="1" r:id="rId1"/>
  </sheets>
  <definedNames>
    <definedName name="_xlfn.IFERROR" hidden="1">#NAME?</definedName>
    <definedName name="_xlnm._FilterDatabase" localSheetId="0" hidden="1">'01.05.2023'!$A$4:$P$88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'01.05.2023'!$3:$4</definedName>
    <definedName name="о">#REF!</definedName>
    <definedName name="_xlnm.Print_Area" localSheetId="0">'01.05.2023'!$A$1:$P$87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<sst xmlns="http://schemas.openxmlformats.org/spreadsheetml/2006/main" count="141" uniqueCount="111">
  <si>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</si>
  <si>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</si>
  <si>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</si>
  <si>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</si>
  <si>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</si>
  <si>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</si>
  <si>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</si>
  <si>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</si>
  <si>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</si>
  <si>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</si>
  <si>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</si>
  <si>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</si>
  <si>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</si>
  <si>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</si>
  <si>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</si>
  <si>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</si>
  <si>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</si>
  <si>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</si>
  <si>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</si>
  <si>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</si>
  <si>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</si>
  <si>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</si>
  <si>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</si>
  <si>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</si>
  <si>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</si>
  <si>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</si>
  <si>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</si>
  <si>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</si>
  <si>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</si>
  <si>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</si>
  <si>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</si>
  <si>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</si>
  <si>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</si>
  <si>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</si>
  <si>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</si>
  <si>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</si>
  <si>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</si>
  <si>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</si>
  <si>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</si>
  <si>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</si>
  <si>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</si>
  <si>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</si>
  <si>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</si>
  <si>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</si>
  <si>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</si>
  <si>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находящихся в собственности городских округов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</si>
  <si>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</si>
  <si>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</si>
  <si>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</si>
  <si>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</si>
  <si>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</si>
  <si>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</si>
  <si>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</si>
  <si>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</si>
  <si>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</si>
  <si>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</si>
  <si>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</si>
  <si>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</si>
  <si>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</si>
  <si>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</si>
  <si>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</si>
  <si>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</si>
  <si>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</si>
  <si>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</si>
  <si>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</si>
  <si>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</si>
  <si>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</si>
  <si>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</si>
  <si>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</si>
  <si>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</si>
  <si>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</si>
  <si>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</si>
  <si>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</si>
  <si>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</si>
  <si>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</si>
  <si>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</si>
  <si>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</si>
  <si>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</si>
  <si>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</si>
  <si>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</si>
  <si>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</si>
  <si>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</si>
  <si>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</si>
  <si>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</si>
  <si>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</si>
  <si>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</si>
  <si>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</si>
  <si>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</si>
  <si>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</si>
  <si>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</si>
  <si>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</si>
  <si>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</si>
  <si>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</si>
  <si>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</si>
  <si>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</si>
  <si>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</si>
  <si>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</si>
  <si>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</si>
  <si>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</si>
  <si>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</si>
  <si>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</si>
  <si>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</si>
  <si>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</si>
  <si>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</si>
  <si>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</si>
  <si>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</si>
  <si>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январь-май</t>
  </si>
  <si>
    <t>май</t>
  </si>
  <si>
    <t>Факт с нач. 2022 года      (по 09.05.22 вкл.)</t>
  </si>
  <si>
    <t>с нач. года на 10.05.2023 (по 05.05.2023 вкл.)</t>
  </si>
  <si>
    <t>факта за май от плана мая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</si>
</sst>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0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7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horizontal="left" wrapText="1"/>
    </xf>
    <xf numFmtId="166" fontId="44" fillId="0" borderId="11" xfId="0" applyNumberFormat="1" applyFont="1" applyFill="1" applyBorder="1" applyAlignment="1">
      <alignment wrapText="1"/>
    </xf>
    <xf numFmtId="166" fontId="44" fillId="0" borderId="11" xfId="0" applyNumberFormat="1" applyFont="1" applyFill="1" applyBorder="1" applyAlignment="1">
      <alignment wrapText="1"/>
    </xf>
    <xf numFmtId="166" fontId="45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6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4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46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6" fillId="0" borderId="13" xfId="0" applyNumberFormat="1" applyFont="1" applyFill="1" applyBorder="1" applyAlignment="1">
      <alignment horizontal="left" vertical="center" wrapText="1"/>
    </xf>
    <xf numFmtId="166" fontId="46" fillId="0" borderId="15" xfId="0" applyNumberFormat="1" applyFont="1" applyFill="1" applyBorder="1" applyAlignment="1">
      <alignment horizontal="left" vertical="center" wrapText="1"/>
    </xf>
    <xf numFmtId="166" fontId="46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1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73 2" xfId="130"/>
    <cellStyle name="Обычный 74" xfId="131"/>
    <cellStyle name="Обычный 75" xfId="132"/>
    <cellStyle name="Обычный 76" xfId="133"/>
    <cellStyle name="Обычный 8" xfId="134"/>
    <cellStyle name="Обычный 9" xfId="135"/>
    <cellStyle name="Плохой" xfId="136"/>
    <cellStyle name="Пояснение" xfId="137"/>
    <cellStyle name="Примечание" xfId="138"/>
    <cellStyle name="Percent" xfId="139"/>
    <cellStyle name="Процентный 2" xfId="140"/>
    <cellStyle name="Процентный 2 2" xfId="141"/>
    <cellStyle name="Связанная ячейка" xfId="142"/>
    <cellStyle name="Текст предупреждения" xfId="143"/>
    <cellStyle name="Comma" xfId="144"/>
    <cellStyle name="Comma [0]" xfId="145"/>
    <cellStyle name="Финансовый 2" xfId="146"/>
    <cellStyle name="Финансовый 3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4" sqref="I14"/>
    </sheetView>
  </sheetViews>
  <sheetFormatPr defaultColWidth="9.00390625" defaultRowHeight="12.75"/>
  <cols>
    <col min="1" max="1" width="9.125" style="67" customWidth="1"/>
    <col min="2" max="2" width="12.625" style="67" customWidth="1"/>
    <col min="3" max="3" width="67.625" style="67" customWidth="1"/>
    <col min="4" max="4" width="14.625" style="25" customWidth="1"/>
    <col min="5" max="5" width="15.625" style="67" customWidth="1"/>
    <col min="6" max="7" width="13.00390625" style="67" customWidth="1"/>
    <col min="8" max="8" width="16.25390625" style="67" customWidth="1"/>
    <col min="9" max="9" width="13.875" style="67" customWidth="1"/>
    <col min="10" max="10" width="15.125" style="67" customWidth="1"/>
    <col min="11" max="11" width="14.375" style="67" customWidth="1"/>
    <col min="12" max="12" width="15.625" style="67" customWidth="1"/>
    <col min="13" max="13" width="13.75390625" style="67" customWidth="1"/>
    <col min="14" max="14" width="10.875" style="67" customWidth="1"/>
    <col min="15" max="15" width="10.125" style="67" customWidth="1"/>
    <col min="16" max="16" width="9.25390625" style="67" customWidth="1"/>
    <col min="17" max="17" width="9.125" style="67" customWidth="1"/>
    <col min="18" max="18" width="16.625" style="67" customWidth="1"/>
    <col min="19" max="19" width="9.125" style="67" customWidth="1"/>
    <col min="20" max="20" width="15.75390625" style="67" customWidth="1"/>
    <col min="21" max="16384" width="9.125" style="67" customWidth="1"/>
  </cols>
  <sheetData>
    <row r="1" spans="1:16" ht="20.25">
      <c r="A1" s="141" t="s">
        <v>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20.25" customHeight="1">
      <c r="A2" s="31"/>
      <c r="B2" s="32"/>
      <c r="C2" s="29"/>
      <c r="D2" s="28"/>
      <c r="E2" s="29"/>
      <c r="F2" s="29"/>
      <c r="G2" s="34"/>
      <c r="H2" s="34"/>
      <c r="I2" s="34"/>
      <c r="J2" s="29"/>
      <c r="K2" s="29"/>
      <c r="L2" s="29"/>
      <c r="M2" s="29"/>
      <c r="N2" s="29"/>
      <c r="O2" s="27"/>
      <c r="P2" s="27" t="s">
        <v>0</v>
      </c>
    </row>
    <row r="3" spans="1:16" ht="20.25" customHeight="1">
      <c r="A3" s="142" t="s">
        <v>1</v>
      </c>
      <c r="B3" s="143" t="s">
        <v>2</v>
      </c>
      <c r="C3" s="144" t="s">
        <v>3</v>
      </c>
      <c r="D3" s="146" t="s">
        <v>108</v>
      </c>
      <c r="E3" s="119" t="s">
        <v>91</v>
      </c>
      <c r="F3" s="121"/>
      <c r="G3" s="120"/>
      <c r="H3" s="119" t="s">
        <v>93</v>
      </c>
      <c r="I3" s="120"/>
      <c r="J3" s="119" t="s">
        <v>4</v>
      </c>
      <c r="K3" s="121"/>
      <c r="L3" s="121"/>
      <c r="M3" s="120"/>
      <c r="N3" s="122" t="s">
        <v>105</v>
      </c>
      <c r="O3" s="148" t="s">
        <v>103</v>
      </c>
      <c r="P3" s="122" t="s">
        <v>104</v>
      </c>
    </row>
    <row r="4" spans="1:16" ht="63">
      <c r="A4" s="142"/>
      <c r="B4" s="143"/>
      <c r="C4" s="145"/>
      <c r="D4" s="147"/>
      <c r="E4" s="1" t="s">
        <v>88</v>
      </c>
      <c r="F4" s="1" t="s">
        <v>106</v>
      </c>
      <c r="G4" s="1" t="s">
        <v>107</v>
      </c>
      <c r="H4" s="51" t="s">
        <v>109</v>
      </c>
      <c r="I4" s="1" t="s">
        <v>107</v>
      </c>
      <c r="J4" s="1" t="s">
        <v>94</v>
      </c>
      <c r="K4" s="1" t="s">
        <v>5</v>
      </c>
      <c r="L4" s="1" t="s">
        <v>95</v>
      </c>
      <c r="M4" s="1" t="s">
        <v>110</v>
      </c>
      <c r="N4" s="122"/>
      <c r="O4" s="148"/>
      <c r="P4" s="122"/>
    </row>
    <row r="5" spans="1:18" ht="29.25" customHeight="1">
      <c r="A5" s="93"/>
      <c r="B5" s="94"/>
      <c r="C5" s="95" t="s">
        <v>6</v>
      </c>
      <c r="D5" s="111">
        <f>D17+D19+D21+D18+D20</f>
        <v>4990696.01</v>
      </c>
      <c r="E5" s="108">
        <f>E17+E19+E21+E18+E20</f>
        <v>20002935.000000004</v>
      </c>
      <c r="F5" s="108">
        <f>F17+F19+F21+F18+F20</f>
        <v>6602253.000000001</v>
      </c>
      <c r="G5" s="108">
        <f>G17+G19+G21+G18+G20</f>
        <v>3159947.1</v>
      </c>
      <c r="H5" s="108">
        <f>H17+H19+H21+H18+H20</f>
        <v>4732429.84</v>
      </c>
      <c r="I5" s="108">
        <f>I17+I19+I21+I18+I20</f>
        <v>41252.8</v>
      </c>
      <c r="J5" s="96">
        <f>H5-D5</f>
        <v>-258266.16999999993</v>
      </c>
      <c r="K5" s="96">
        <f>H5-F5</f>
        <v>-1869823.160000001</v>
      </c>
      <c r="L5" s="96">
        <f>H5-E5</f>
        <v>-15270505.160000004</v>
      </c>
      <c r="M5" s="96">
        <f>I5-G5</f>
        <v>-3118694.3000000003</v>
      </c>
      <c r="N5" s="53">
        <f aca="true" t="shared" si="0" ref="N5:N36">_xlfn.IFERROR(H5/D5,"")</f>
        <v>0.9482504705791528</v>
      </c>
      <c r="O5" s="53">
        <f aca="true" t="shared" si="1" ref="O5:O36">_xlfn.IFERROR(H5/F5,"")</f>
        <v>0.7167901381543541</v>
      </c>
      <c r="P5" s="53">
        <f aca="true" t="shared" si="2" ref="P5:P36">_xlfn.IFERROR(H5/E5,"")</f>
        <v>0.23658677289107818</v>
      </c>
      <c r="R5" s="79"/>
    </row>
    <row r="6" spans="1:21" ht="15.75">
      <c r="A6" s="129" t="s">
        <v>10</v>
      </c>
      <c r="B6" s="75" t="s">
        <v>11</v>
      </c>
      <c r="C6" s="4" t="s">
        <v>12</v>
      </c>
      <c r="D6" s="36">
        <v>3540404.84</v>
      </c>
      <c r="E6" s="5">
        <f>14235121.9+613644.6</f>
        <v>14848766.5</v>
      </c>
      <c r="F6" s="5">
        <v>4685795.100000001</v>
      </c>
      <c r="G6" s="5">
        <v>2241093.9</v>
      </c>
      <c r="H6" s="101">
        <v>3166841.5299999993</v>
      </c>
      <c r="I6" s="101">
        <v>21619.63</v>
      </c>
      <c r="J6" s="5">
        <f aca="true" t="shared" si="3" ref="J6:J60">H6-D6</f>
        <v>-373563.3100000005</v>
      </c>
      <c r="K6" s="5">
        <f aca="true" t="shared" si="4" ref="K6:K69">H6-F6</f>
        <v>-1518953.5700000012</v>
      </c>
      <c r="L6" s="5">
        <f aca="true" t="shared" si="5" ref="L6:L69">H6-E6</f>
        <v>-11681924.97</v>
      </c>
      <c r="M6" s="5">
        <f>I6-G6</f>
        <v>-2219474.27</v>
      </c>
      <c r="N6" s="44">
        <f t="shared" si="0"/>
        <v>0.8944857080242833</v>
      </c>
      <c r="O6" s="44">
        <f t="shared" si="1"/>
        <v>0.67583867036781</v>
      </c>
      <c r="P6" s="44">
        <f t="shared" si="2"/>
        <v>0.21327303719133836</v>
      </c>
      <c r="U6" s="79"/>
    </row>
    <row r="7" spans="1:21" ht="15.75">
      <c r="A7" s="124"/>
      <c r="B7" s="75" t="s">
        <v>7</v>
      </c>
      <c r="C7" s="2" t="s">
        <v>8</v>
      </c>
      <c r="D7" s="35">
        <v>21518.12</v>
      </c>
      <c r="E7" s="3">
        <v>80057.5</v>
      </c>
      <c r="F7" s="3">
        <v>30890</v>
      </c>
      <c r="G7" s="3">
        <v>8320</v>
      </c>
      <c r="H7" s="102">
        <v>24712.19</v>
      </c>
      <c r="I7" s="102">
        <v>0</v>
      </c>
      <c r="J7" s="3">
        <f>H7-D7</f>
        <v>3194.0699999999997</v>
      </c>
      <c r="K7" s="3">
        <f>H7-F7</f>
        <v>-6177.810000000001</v>
      </c>
      <c r="L7" s="3">
        <f>H7-E7</f>
        <v>-55345.31</v>
      </c>
      <c r="M7" s="3">
        <f>I7-G7</f>
        <v>-8320</v>
      </c>
      <c r="N7" s="44">
        <f t="shared" si="0"/>
        <v>1.1484362946205338</v>
      </c>
      <c r="O7" s="44">
        <f t="shared" si="1"/>
        <v>0.8000061508578827</v>
      </c>
      <c r="P7" s="44">
        <f t="shared" si="2"/>
        <v>0.30868051088280296</v>
      </c>
      <c r="U7" s="79"/>
    </row>
    <row r="8" spans="1:21" ht="15.75">
      <c r="A8" s="124"/>
      <c r="B8" s="75" t="s">
        <v>11</v>
      </c>
      <c r="C8" s="37" t="s">
        <v>96</v>
      </c>
      <c r="D8" s="36"/>
      <c r="E8" s="36">
        <v>1204375.9</v>
      </c>
      <c r="F8" s="36">
        <v>648721.5</v>
      </c>
      <c r="G8" s="36">
        <v>429755.2</v>
      </c>
      <c r="H8" s="101">
        <v>475930.65</v>
      </c>
      <c r="I8" s="101">
        <v>11436.02</v>
      </c>
      <c r="J8" s="5">
        <f>H8-D8</f>
        <v>475930.65</v>
      </c>
      <c r="K8" s="5">
        <f>H8-F8</f>
        <v>-172790.84999999998</v>
      </c>
      <c r="L8" s="5">
        <f>H8-E8</f>
        <v>-728445.2499999999</v>
      </c>
      <c r="M8" s="5">
        <f aca="true" t="shared" si="6" ref="M8:M69">I8-G8</f>
        <v>-418319.18</v>
      </c>
      <c r="N8" s="44">
        <f t="shared" si="0"/>
      </c>
      <c r="O8" s="44">
        <f t="shared" si="1"/>
        <v>0.7336440213558515</v>
      </c>
      <c r="P8" s="44">
        <f t="shared" si="2"/>
        <v>0.3951678624588885</v>
      </c>
      <c r="U8" s="79"/>
    </row>
    <row r="9" spans="1:21" ht="15.75">
      <c r="A9" s="124"/>
      <c r="B9" s="75" t="s">
        <v>11</v>
      </c>
      <c r="C9" s="4" t="s">
        <v>13</v>
      </c>
      <c r="D9" s="36">
        <v>1526.5699999999997</v>
      </c>
      <c r="E9" s="5"/>
      <c r="F9" s="5"/>
      <c r="G9" s="5"/>
      <c r="H9" s="102">
        <v>-3515.7400000000002</v>
      </c>
      <c r="I9" s="102">
        <v>0.98</v>
      </c>
      <c r="J9" s="5">
        <f t="shared" si="3"/>
        <v>-5042.3099999999995</v>
      </c>
      <c r="K9" s="5">
        <f>H9-F9</f>
        <v>-3515.7400000000002</v>
      </c>
      <c r="L9" s="5">
        <f t="shared" si="5"/>
        <v>-3515.7400000000002</v>
      </c>
      <c r="M9" s="5">
        <f t="shared" si="6"/>
        <v>0.98</v>
      </c>
      <c r="N9" s="44">
        <f t="shared" si="0"/>
        <v>-2.3030322880706424</v>
      </c>
      <c r="O9" s="44">
        <f t="shared" si="1"/>
      </c>
      <c r="P9" s="44">
        <f t="shared" si="2"/>
      </c>
      <c r="U9" s="79"/>
    </row>
    <row r="10" spans="1:21" ht="15.75">
      <c r="A10" s="124"/>
      <c r="B10" s="75" t="s">
        <v>11</v>
      </c>
      <c r="C10" s="4" t="s">
        <v>14</v>
      </c>
      <c r="D10" s="36">
        <v>2130.3100000000004</v>
      </c>
      <c r="E10" s="5">
        <v>4690.3</v>
      </c>
      <c r="F10" s="5">
        <v>2720.4</v>
      </c>
      <c r="G10" s="5">
        <v>0</v>
      </c>
      <c r="H10" s="103">
        <v>-1454.97</v>
      </c>
      <c r="I10" s="103">
        <v>0</v>
      </c>
      <c r="J10" s="5">
        <f t="shared" si="3"/>
        <v>-3585.2800000000007</v>
      </c>
      <c r="K10" s="5">
        <f t="shared" si="4"/>
        <v>-4175.37</v>
      </c>
      <c r="L10" s="5">
        <f t="shared" si="5"/>
        <v>-6145.27</v>
      </c>
      <c r="M10" s="5">
        <f t="shared" si="6"/>
        <v>0</v>
      </c>
      <c r="N10" s="44">
        <f t="shared" si="0"/>
        <v>-0.6829851054541357</v>
      </c>
      <c r="O10" s="44">
        <f t="shared" si="1"/>
        <v>-0.534836788707543</v>
      </c>
      <c r="P10" s="44">
        <f t="shared" si="2"/>
        <v>-0.3102083022407948</v>
      </c>
      <c r="U10" s="79"/>
    </row>
    <row r="11" spans="1:21" ht="15.75">
      <c r="A11" s="124"/>
      <c r="B11" s="75" t="s">
        <v>11</v>
      </c>
      <c r="C11" s="4" t="s">
        <v>98</v>
      </c>
      <c r="D11" s="36">
        <v>100367.76999999997</v>
      </c>
      <c r="E11" s="5">
        <v>314766.5</v>
      </c>
      <c r="F11" s="5">
        <v>125074</v>
      </c>
      <c r="G11" s="5">
        <v>6858</v>
      </c>
      <c r="H11" s="103">
        <v>93908.79</v>
      </c>
      <c r="I11" s="103">
        <v>2954.49</v>
      </c>
      <c r="J11" s="5">
        <f t="shared" si="3"/>
        <v>-6458.979999999981</v>
      </c>
      <c r="K11" s="5">
        <f t="shared" si="4"/>
        <v>-31165.210000000006</v>
      </c>
      <c r="L11" s="5">
        <f t="shared" si="5"/>
        <v>-220857.71000000002</v>
      </c>
      <c r="M11" s="5">
        <f t="shared" si="6"/>
        <v>-3903.51</v>
      </c>
      <c r="N11" s="44">
        <f t="shared" si="0"/>
        <v>0.9356468715006822</v>
      </c>
      <c r="O11" s="44">
        <f t="shared" si="1"/>
        <v>0.7508258311079841</v>
      </c>
      <c r="P11" s="44">
        <f t="shared" si="2"/>
        <v>0.2983442964864431</v>
      </c>
      <c r="U11" s="79"/>
    </row>
    <row r="12" spans="1:21" ht="15.75">
      <c r="A12" s="124"/>
      <c r="B12" s="75" t="s">
        <v>15</v>
      </c>
      <c r="C12" s="4" t="s">
        <v>16</v>
      </c>
      <c r="D12" s="36">
        <v>46119.899999999994</v>
      </c>
      <c r="E12" s="5">
        <v>1083466.2</v>
      </c>
      <c r="F12" s="5">
        <v>59600</v>
      </c>
      <c r="G12" s="5">
        <v>5400</v>
      </c>
      <c r="H12" s="103">
        <v>23209.670000000002</v>
      </c>
      <c r="I12" s="103">
        <v>304.23</v>
      </c>
      <c r="J12" s="5">
        <f t="shared" si="3"/>
        <v>-22910.229999999992</v>
      </c>
      <c r="K12" s="5">
        <f t="shared" si="4"/>
        <v>-36390.33</v>
      </c>
      <c r="L12" s="5">
        <f t="shared" si="5"/>
        <v>-1060256.53</v>
      </c>
      <c r="M12" s="5">
        <f t="shared" si="6"/>
        <v>-5095.77</v>
      </c>
      <c r="N12" s="44">
        <f t="shared" si="0"/>
        <v>0.5032463210024307</v>
      </c>
      <c r="O12" s="44">
        <f t="shared" si="1"/>
        <v>0.3894239932885906</v>
      </c>
      <c r="P12" s="44">
        <f t="shared" si="2"/>
        <v>0.021421683482142777</v>
      </c>
      <c r="U12" s="79"/>
    </row>
    <row r="13" spans="1:21" ht="15.75">
      <c r="A13" s="124"/>
      <c r="B13" s="75" t="s">
        <v>79</v>
      </c>
      <c r="C13" s="4" t="s">
        <v>101</v>
      </c>
      <c r="D13" s="36">
        <v>273098.74000000005</v>
      </c>
      <c r="E13" s="5"/>
      <c r="F13" s="5"/>
      <c r="G13" s="5"/>
      <c r="H13" s="103">
        <v>0</v>
      </c>
      <c r="I13" s="103">
        <v>0</v>
      </c>
      <c r="J13" s="5">
        <f t="shared" si="3"/>
        <v>-273098.74000000005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44">
        <f t="shared" si="0"/>
        <v>0</v>
      </c>
      <c r="O13" s="44">
        <f t="shared" si="1"/>
      </c>
      <c r="P13" s="44">
        <f t="shared" si="2"/>
      </c>
      <c r="U13" s="79"/>
    </row>
    <row r="14" spans="1:21" ht="15.75">
      <c r="A14" s="124"/>
      <c r="B14" s="75" t="s">
        <v>15</v>
      </c>
      <c r="C14" s="4" t="s">
        <v>17</v>
      </c>
      <c r="D14" s="36">
        <v>933018.6399999999</v>
      </c>
      <c r="E14" s="5">
        <v>2237196.9</v>
      </c>
      <c r="F14" s="5">
        <v>960800</v>
      </c>
      <c r="G14" s="5">
        <v>451700</v>
      </c>
      <c r="H14" s="103">
        <v>889958.2200000001</v>
      </c>
      <c r="I14" s="103">
        <v>2581.53</v>
      </c>
      <c r="J14" s="5">
        <f t="shared" si="3"/>
        <v>-43060.41999999981</v>
      </c>
      <c r="K14" s="5">
        <f t="shared" si="4"/>
        <v>-70841.77999999991</v>
      </c>
      <c r="L14" s="5">
        <f t="shared" si="5"/>
        <v>-1347238.6799999997</v>
      </c>
      <c r="M14" s="5">
        <f t="shared" si="6"/>
        <v>-449118.47</v>
      </c>
      <c r="N14" s="44">
        <f t="shared" si="0"/>
        <v>0.9538482746711258</v>
      </c>
      <c r="O14" s="44">
        <f t="shared" si="1"/>
        <v>0.9262679225645296</v>
      </c>
      <c r="P14" s="44">
        <f t="shared" si="2"/>
        <v>0.39780057803584484</v>
      </c>
      <c r="U14" s="79"/>
    </row>
    <row r="15" spans="1:21" ht="15.75">
      <c r="A15" s="124"/>
      <c r="B15" s="75" t="s">
        <v>18</v>
      </c>
      <c r="C15" s="4" t="s">
        <v>19</v>
      </c>
      <c r="D15" s="36">
        <v>72070.66</v>
      </c>
      <c r="E15" s="5">
        <v>228385.6</v>
      </c>
      <c r="F15" s="5">
        <v>88145</v>
      </c>
      <c r="G15" s="5">
        <v>16690</v>
      </c>
      <c r="H15" s="104">
        <v>62750.99999999999</v>
      </c>
      <c r="I15" s="104">
        <v>2355.92</v>
      </c>
      <c r="J15" s="5">
        <f t="shared" si="3"/>
        <v>-9319.66000000001</v>
      </c>
      <c r="K15" s="5">
        <f t="shared" si="4"/>
        <v>-25394.000000000007</v>
      </c>
      <c r="L15" s="5">
        <f t="shared" si="5"/>
        <v>-165634.6</v>
      </c>
      <c r="M15" s="5">
        <f t="shared" si="6"/>
        <v>-14334.08</v>
      </c>
      <c r="N15" s="44">
        <f t="shared" si="0"/>
        <v>0.8706871839386512</v>
      </c>
      <c r="O15" s="44">
        <f t="shared" si="1"/>
        <v>0.7119065176697487</v>
      </c>
      <c r="P15" s="44">
        <f t="shared" si="2"/>
        <v>0.2747590040703091</v>
      </c>
      <c r="U15" s="79"/>
    </row>
    <row r="16" spans="1:21" ht="15.75">
      <c r="A16" s="124"/>
      <c r="B16" s="75" t="s">
        <v>15</v>
      </c>
      <c r="C16" s="4" t="s">
        <v>20</v>
      </c>
      <c r="D16" s="36">
        <v>18.06</v>
      </c>
      <c r="E16" s="5"/>
      <c r="F16" s="5"/>
      <c r="G16" s="5"/>
      <c r="H16" s="105">
        <v>-0.1</v>
      </c>
      <c r="I16" s="105">
        <v>0</v>
      </c>
      <c r="J16" s="5">
        <f t="shared" si="3"/>
        <v>-18.16</v>
      </c>
      <c r="K16" s="5">
        <f t="shared" si="4"/>
        <v>-0.1</v>
      </c>
      <c r="L16" s="5">
        <f t="shared" si="5"/>
        <v>-0.1</v>
      </c>
      <c r="M16" s="5">
        <f t="shared" si="6"/>
        <v>0</v>
      </c>
      <c r="N16" s="44">
        <f t="shared" si="0"/>
        <v>-0.005537098560354375</v>
      </c>
      <c r="O16" s="44">
        <f t="shared" si="1"/>
      </c>
      <c r="P16" s="44">
        <f t="shared" si="2"/>
      </c>
      <c r="U16" s="79"/>
    </row>
    <row r="17" spans="1:21" ht="15.75">
      <c r="A17" s="125"/>
      <c r="B17" s="57"/>
      <c r="C17" s="58" t="s">
        <v>9</v>
      </c>
      <c r="D17" s="30">
        <f>SUM(D6:D16)</f>
        <v>4990273.609999999</v>
      </c>
      <c r="E17" s="30">
        <f>SUM(E6:E16)</f>
        <v>20001705.400000002</v>
      </c>
      <c r="F17" s="30">
        <f>SUM(F6:F16)</f>
        <v>6601746.000000001</v>
      </c>
      <c r="G17" s="30">
        <f>SUM(G6:G16)</f>
        <v>3159817.1</v>
      </c>
      <c r="H17" s="30">
        <f>SUM(H6:H16)</f>
        <v>4732341.239999999</v>
      </c>
      <c r="I17" s="30">
        <f>SUM(I6:I16)</f>
        <v>41252.8</v>
      </c>
      <c r="J17" s="30">
        <f t="shared" si="3"/>
        <v>-257932.3700000001</v>
      </c>
      <c r="K17" s="30">
        <f t="shared" si="4"/>
        <v>-1869404.7600000016</v>
      </c>
      <c r="L17" s="30">
        <f t="shared" si="5"/>
        <v>-15269364.160000004</v>
      </c>
      <c r="M17" s="30">
        <f>I17-G17</f>
        <v>-3118564.3000000003</v>
      </c>
      <c r="N17" s="59">
        <f t="shared" si="0"/>
        <v>0.9483129803778434</v>
      </c>
      <c r="O17" s="59">
        <f t="shared" si="1"/>
        <v>0.7168317654147855</v>
      </c>
      <c r="P17" s="59">
        <f t="shared" si="2"/>
        <v>0.23659688738341275</v>
      </c>
      <c r="U17" s="79"/>
    </row>
    <row r="18" spans="1:21" ht="15.75">
      <c r="A18" s="76" t="s">
        <v>76</v>
      </c>
      <c r="B18" s="75" t="s">
        <v>22</v>
      </c>
      <c r="C18" s="4" t="s">
        <v>23</v>
      </c>
      <c r="D18" s="36">
        <v>32</v>
      </c>
      <c r="E18" s="5">
        <v>140</v>
      </c>
      <c r="F18" s="5">
        <v>55</v>
      </c>
      <c r="G18" s="5">
        <v>10</v>
      </c>
      <c r="H18" s="106">
        <v>20</v>
      </c>
      <c r="I18" s="106">
        <v>0</v>
      </c>
      <c r="J18" s="5">
        <f t="shared" si="3"/>
        <v>-12</v>
      </c>
      <c r="K18" s="5">
        <f t="shared" si="4"/>
        <v>-35</v>
      </c>
      <c r="L18" s="5">
        <f t="shared" si="5"/>
        <v>-120</v>
      </c>
      <c r="M18" s="5">
        <f t="shared" si="6"/>
        <v>-10</v>
      </c>
      <c r="N18" s="44">
        <f t="shared" si="0"/>
        <v>0.625</v>
      </c>
      <c r="O18" s="44">
        <f t="shared" si="1"/>
        <v>0.36363636363636365</v>
      </c>
      <c r="P18" s="44">
        <f t="shared" si="2"/>
        <v>0.14285714285714285</v>
      </c>
      <c r="U18" s="79"/>
    </row>
    <row r="19" spans="1:21" ht="19.5" customHeight="1">
      <c r="A19" s="76" t="s">
        <v>21</v>
      </c>
      <c r="B19" s="75" t="s">
        <v>22</v>
      </c>
      <c r="C19" s="4" t="s">
        <v>97</v>
      </c>
      <c r="D19" s="36">
        <v>69.4</v>
      </c>
      <c r="E19" s="5"/>
      <c r="F19" s="5"/>
      <c r="G19" s="5"/>
      <c r="H19" s="106">
        <v>47.2</v>
      </c>
      <c r="I19" s="106">
        <v>0</v>
      </c>
      <c r="J19" s="5">
        <f t="shared" si="3"/>
        <v>-22.200000000000003</v>
      </c>
      <c r="K19" s="5">
        <f t="shared" si="4"/>
        <v>47.2</v>
      </c>
      <c r="L19" s="5">
        <f t="shared" si="5"/>
        <v>47.2</v>
      </c>
      <c r="M19" s="5">
        <f t="shared" si="6"/>
        <v>0</v>
      </c>
      <c r="N19" s="44">
        <f t="shared" si="0"/>
        <v>0.6801152737752161</v>
      </c>
      <c r="O19" s="44">
        <f t="shared" si="1"/>
      </c>
      <c r="P19" s="44">
        <f t="shared" si="2"/>
      </c>
      <c r="U19" s="79"/>
    </row>
    <row r="20" spans="1:21" ht="31.5">
      <c r="A20" s="77" t="s">
        <v>25</v>
      </c>
      <c r="B20" s="78" t="s">
        <v>78</v>
      </c>
      <c r="C20" s="4" t="s">
        <v>26</v>
      </c>
      <c r="D20" s="36">
        <v>296</v>
      </c>
      <c r="E20" s="5">
        <v>969.6</v>
      </c>
      <c r="F20" s="5">
        <v>422</v>
      </c>
      <c r="G20" s="5">
        <v>115</v>
      </c>
      <c r="H20" s="106">
        <v>6.4</v>
      </c>
      <c r="I20" s="106">
        <v>0</v>
      </c>
      <c r="J20" s="5">
        <f t="shared" si="3"/>
        <v>-289.6</v>
      </c>
      <c r="K20" s="5">
        <f t="shared" si="4"/>
        <v>-415.6</v>
      </c>
      <c r="L20" s="5">
        <f t="shared" si="5"/>
        <v>-963.2</v>
      </c>
      <c r="M20" s="5">
        <f t="shared" si="6"/>
        <v>-115</v>
      </c>
      <c r="N20" s="44">
        <f t="shared" si="0"/>
        <v>0.021621621621621623</v>
      </c>
      <c r="O20" s="44">
        <f t="shared" si="1"/>
        <v>0.015165876777251185</v>
      </c>
      <c r="P20" s="44">
        <f t="shared" si="2"/>
        <v>0.006600660066006601</v>
      </c>
      <c r="U20" s="79"/>
    </row>
    <row r="21" spans="1:21" ht="15.75">
      <c r="A21" s="76" t="s">
        <v>24</v>
      </c>
      <c r="B21" s="75" t="s">
        <v>11</v>
      </c>
      <c r="C21" s="4" t="s">
        <v>80</v>
      </c>
      <c r="D21" s="36">
        <v>25</v>
      </c>
      <c r="E21" s="5">
        <v>120</v>
      </c>
      <c r="F21" s="5">
        <v>30</v>
      </c>
      <c r="G21" s="5">
        <v>5</v>
      </c>
      <c r="H21" s="106">
        <v>15</v>
      </c>
      <c r="I21" s="106">
        <v>0</v>
      </c>
      <c r="J21" s="5">
        <f t="shared" si="3"/>
        <v>-10</v>
      </c>
      <c r="K21" s="5">
        <f t="shared" si="4"/>
        <v>-15</v>
      </c>
      <c r="L21" s="5">
        <f t="shared" si="5"/>
        <v>-105</v>
      </c>
      <c r="M21" s="5">
        <f t="shared" si="6"/>
        <v>-5</v>
      </c>
      <c r="N21" s="44">
        <f t="shared" si="0"/>
        <v>0.6</v>
      </c>
      <c r="O21" s="44">
        <f t="shared" si="1"/>
        <v>0.5</v>
      </c>
      <c r="P21" s="44">
        <f t="shared" si="2"/>
        <v>0.125</v>
      </c>
      <c r="U21" s="79"/>
    </row>
    <row r="22" spans="1:21" ht="27.75" customHeight="1">
      <c r="A22" s="130"/>
      <c r="B22" s="130"/>
      <c r="C22" s="54" t="s">
        <v>27</v>
      </c>
      <c r="D22" s="111">
        <f>D26+D29+D37+D47+D49+D55+D59+D61+D72</f>
        <v>1934029.3900000004</v>
      </c>
      <c r="E22" s="112">
        <f>E26+E29+E37+E47+E49+E55+E59+E61+E72</f>
        <v>6224060.930000001</v>
      </c>
      <c r="F22" s="112">
        <f>F26+F29+F37+F47+F49+F55+F59+F61+F72</f>
        <v>2483324.41</v>
      </c>
      <c r="G22" s="112">
        <f>G26+G29+G37+G47+G49+G55+G59+G61+G72</f>
        <v>464434.2</v>
      </c>
      <c r="H22" s="112">
        <f>H26+H29+H37+H47+H49+H55+H59+H61+H72</f>
        <v>2425081.7700000005</v>
      </c>
      <c r="I22" s="112">
        <v>110527.03000000001</v>
      </c>
      <c r="J22" s="96">
        <f t="shared" si="3"/>
        <v>491052.3800000001</v>
      </c>
      <c r="K22" s="96">
        <f t="shared" si="4"/>
        <v>-58242.639999999665</v>
      </c>
      <c r="L22" s="96">
        <f t="shared" si="5"/>
        <v>-3798979.16</v>
      </c>
      <c r="M22" s="96">
        <f t="shared" si="6"/>
        <v>-353907.17</v>
      </c>
      <c r="N22" s="53">
        <f t="shared" si="0"/>
        <v>1.253901198471446</v>
      </c>
      <c r="O22" s="53">
        <f t="shared" si="1"/>
        <v>0.9765465036442823</v>
      </c>
      <c r="P22" s="53">
        <f t="shared" si="2"/>
        <v>0.389630146181747</v>
      </c>
      <c r="T22" s="6"/>
      <c r="U22" s="79"/>
    </row>
    <row r="23" spans="1:16" ht="15.75">
      <c r="A23" s="123" t="s">
        <v>25</v>
      </c>
      <c r="B23" s="126" t="s">
        <v>78</v>
      </c>
      <c r="C23" s="7" t="s">
        <v>99</v>
      </c>
      <c r="D23" s="40">
        <v>37363.98</v>
      </c>
      <c r="E23" s="5">
        <f>135475.5+25225.6</f>
        <v>160701.1</v>
      </c>
      <c r="F23" s="5">
        <v>60450</v>
      </c>
      <c r="G23" s="5">
        <v>13600</v>
      </c>
      <c r="H23" s="38">
        <v>53504.990000000005</v>
      </c>
      <c r="I23" s="38">
        <v>2678.31</v>
      </c>
      <c r="J23" s="8">
        <f t="shared" si="3"/>
        <v>16141.010000000002</v>
      </c>
      <c r="K23" s="8">
        <f t="shared" si="4"/>
        <v>-6945.009999999995</v>
      </c>
      <c r="L23" s="8">
        <f t="shared" si="5"/>
        <v>-107196.11</v>
      </c>
      <c r="M23" s="8">
        <f t="shared" si="6"/>
        <v>-10921.69</v>
      </c>
      <c r="N23" s="45">
        <f t="shared" si="0"/>
        <v>1.4319938614676488</v>
      </c>
      <c r="O23" s="45">
        <f t="shared" si="1"/>
        <v>0.8851114971050456</v>
      </c>
      <c r="P23" s="45">
        <f t="shared" si="2"/>
        <v>0.33294725425028204</v>
      </c>
    </row>
    <row r="24" spans="1:16" ht="15.75">
      <c r="A24" s="124"/>
      <c r="B24" s="127"/>
      <c r="C24" s="7" t="s">
        <v>28</v>
      </c>
      <c r="D24" s="39">
        <v>3971.23</v>
      </c>
      <c r="E24" s="5">
        <v>31937.8</v>
      </c>
      <c r="F24" s="5">
        <v>31937.8</v>
      </c>
      <c r="G24" s="5">
        <v>0</v>
      </c>
      <c r="H24" s="17">
        <v>39519.14</v>
      </c>
      <c r="I24" s="17">
        <v>0</v>
      </c>
      <c r="J24" s="5">
        <f t="shared" si="3"/>
        <v>35547.909999999996</v>
      </c>
      <c r="K24" s="5">
        <f t="shared" si="4"/>
        <v>7581.34</v>
      </c>
      <c r="L24" s="5">
        <f t="shared" si="5"/>
        <v>7581.34</v>
      </c>
      <c r="M24" s="5">
        <f t="shared" si="6"/>
        <v>0</v>
      </c>
      <c r="N24" s="45">
        <f t="shared" si="0"/>
        <v>9.951360157935953</v>
      </c>
      <c r="O24" s="45">
        <f t="shared" si="1"/>
        <v>1.2373782790298644</v>
      </c>
      <c r="P24" s="45">
        <f t="shared" si="2"/>
        <v>1.2373782790298644</v>
      </c>
    </row>
    <row r="25" spans="1:16" ht="15.75">
      <c r="A25" s="124"/>
      <c r="B25" s="127"/>
      <c r="C25" s="7" t="s">
        <v>51</v>
      </c>
      <c r="D25" s="39">
        <v>24778.500000000004</v>
      </c>
      <c r="E25" s="5">
        <f>110819.4+14383.9-8662.9</f>
        <v>116540.4</v>
      </c>
      <c r="F25" s="5">
        <v>39700</v>
      </c>
      <c r="G25" s="5">
        <v>8550</v>
      </c>
      <c r="H25" s="39">
        <v>33700.30999999999</v>
      </c>
      <c r="I25" s="39">
        <v>1873.38</v>
      </c>
      <c r="J25" s="8">
        <f t="shared" si="3"/>
        <v>8921.809999999987</v>
      </c>
      <c r="K25" s="8">
        <f t="shared" si="4"/>
        <v>-5999.69000000001</v>
      </c>
      <c r="L25" s="8">
        <f t="shared" si="5"/>
        <v>-82840.09</v>
      </c>
      <c r="M25" s="8">
        <f t="shared" si="6"/>
        <v>-6676.62</v>
      </c>
      <c r="N25" s="45">
        <f t="shared" si="0"/>
        <v>1.3600625542304814</v>
      </c>
      <c r="O25" s="45">
        <f t="shared" si="1"/>
        <v>0.8488743073047856</v>
      </c>
      <c r="P25" s="45">
        <f t="shared" si="2"/>
        <v>0.2891727675552855</v>
      </c>
    </row>
    <row r="26" spans="1:16" ht="15.75">
      <c r="A26" s="125"/>
      <c r="B26" s="128"/>
      <c r="C26" s="58" t="s">
        <v>9</v>
      </c>
      <c r="D26" s="30">
        <f aca="true" t="shared" si="7" ref="D26:I26">SUM(D23:D25)</f>
        <v>66113.71</v>
      </c>
      <c r="E26" s="30">
        <f t="shared" si="7"/>
        <v>309179.3</v>
      </c>
      <c r="F26" s="113">
        <f t="shared" si="7"/>
        <v>132087.8</v>
      </c>
      <c r="G26" s="113">
        <f t="shared" si="7"/>
        <v>22150</v>
      </c>
      <c r="H26" s="113">
        <f t="shared" si="7"/>
        <v>126724.44</v>
      </c>
      <c r="I26" s="113">
        <f t="shared" si="7"/>
        <v>4551.6900000000005</v>
      </c>
      <c r="J26" s="30">
        <f t="shared" si="3"/>
        <v>60610.729999999996</v>
      </c>
      <c r="K26" s="30">
        <f t="shared" si="4"/>
        <v>-5363.359999999986</v>
      </c>
      <c r="L26" s="30">
        <f t="shared" si="5"/>
        <v>-182454.86</v>
      </c>
      <c r="M26" s="30">
        <f t="shared" si="6"/>
        <v>-17598.309999999998</v>
      </c>
      <c r="N26" s="60">
        <f t="shared" si="0"/>
        <v>1.9167649191067933</v>
      </c>
      <c r="O26" s="60">
        <f t="shared" si="1"/>
        <v>0.9593954929978394</v>
      </c>
      <c r="P26" s="60">
        <f t="shared" si="2"/>
        <v>0.4098736234929053</v>
      </c>
    </row>
    <row r="27" spans="1:16" ht="15.75">
      <c r="A27" s="118">
        <v>951</v>
      </c>
      <c r="B27" s="118" t="s">
        <v>11</v>
      </c>
      <c r="C27" s="9" t="s">
        <v>29</v>
      </c>
      <c r="D27" s="117">
        <v>25204.46</v>
      </c>
      <c r="E27" s="5">
        <v>91712.1</v>
      </c>
      <c r="F27" s="99">
        <v>30703</v>
      </c>
      <c r="G27" s="99">
        <v>5900</v>
      </c>
      <c r="H27" s="38">
        <v>28764.44</v>
      </c>
      <c r="I27" s="38">
        <v>2176.99</v>
      </c>
      <c r="J27" s="5">
        <f t="shared" si="3"/>
        <v>3559.9799999999996</v>
      </c>
      <c r="K27" s="5">
        <f t="shared" si="4"/>
        <v>-1938.5600000000013</v>
      </c>
      <c r="L27" s="5">
        <f t="shared" si="5"/>
        <v>-62947.66</v>
      </c>
      <c r="M27" s="5">
        <f t="shared" si="6"/>
        <v>-3723.01</v>
      </c>
      <c r="N27" s="45">
        <f t="shared" si="0"/>
        <v>1.141244049664226</v>
      </c>
      <c r="O27" s="45">
        <f t="shared" si="1"/>
        <v>0.9368608930723382</v>
      </c>
      <c r="P27" s="45">
        <f t="shared" si="2"/>
        <v>0.31363844029304744</v>
      </c>
    </row>
    <row r="28" spans="1:16" ht="15.75">
      <c r="A28" s="118"/>
      <c r="B28" s="118"/>
      <c r="C28" s="7" t="s">
        <v>30</v>
      </c>
      <c r="D28" s="117">
        <v>2712.98</v>
      </c>
      <c r="E28" s="5">
        <v>14224.9</v>
      </c>
      <c r="F28" s="99">
        <v>2622.1</v>
      </c>
      <c r="G28" s="99">
        <v>1380.8</v>
      </c>
      <c r="H28" s="38">
        <v>3024.83</v>
      </c>
      <c r="I28" s="38">
        <v>64.35</v>
      </c>
      <c r="J28" s="5">
        <f t="shared" si="3"/>
        <v>311.8499999999999</v>
      </c>
      <c r="K28" s="5">
        <f t="shared" si="4"/>
        <v>402.73</v>
      </c>
      <c r="L28" s="5">
        <f t="shared" si="5"/>
        <v>-11200.07</v>
      </c>
      <c r="M28" s="5">
        <f t="shared" si="6"/>
        <v>-1316.45</v>
      </c>
      <c r="N28" s="45">
        <f t="shared" si="0"/>
        <v>1.1149474010129083</v>
      </c>
      <c r="O28" s="45">
        <f t="shared" si="1"/>
        <v>1.1535906334617292</v>
      </c>
      <c r="P28" s="45">
        <f t="shared" si="2"/>
        <v>0.21264332262441213</v>
      </c>
    </row>
    <row r="29" spans="1:16" ht="15.75">
      <c r="A29" s="118"/>
      <c r="B29" s="118"/>
      <c r="C29" s="61" t="s">
        <v>9</v>
      </c>
      <c r="D29" s="30">
        <f>D27+D28</f>
        <v>27917.44</v>
      </c>
      <c r="E29" s="30">
        <f>E27+E28</f>
        <v>105937</v>
      </c>
      <c r="F29" s="113">
        <f>F27+F28</f>
        <v>33325.1</v>
      </c>
      <c r="G29" s="113">
        <f>G27+G28</f>
        <v>7280.8</v>
      </c>
      <c r="H29" s="113">
        <f>H27+H28</f>
        <v>31789.269999999997</v>
      </c>
      <c r="I29" s="113">
        <f>I27+I28</f>
        <v>2241.3399999999997</v>
      </c>
      <c r="J29" s="30">
        <f t="shared" si="3"/>
        <v>3871.829999999998</v>
      </c>
      <c r="K29" s="30">
        <f t="shared" si="4"/>
        <v>-1535.8300000000017</v>
      </c>
      <c r="L29" s="30">
        <f t="shared" si="5"/>
        <v>-74147.73000000001</v>
      </c>
      <c r="M29" s="30">
        <f t="shared" si="6"/>
        <v>-5039.460000000001</v>
      </c>
      <c r="N29" s="60">
        <f t="shared" si="0"/>
        <v>1.1386885760298937</v>
      </c>
      <c r="O29" s="60">
        <f t="shared" si="1"/>
        <v>0.9539137166880219</v>
      </c>
      <c r="P29" s="60">
        <f t="shared" si="2"/>
        <v>0.30007712130794717</v>
      </c>
    </row>
    <row r="30" spans="1:16" ht="15.75">
      <c r="A30" s="131" t="s">
        <v>31</v>
      </c>
      <c r="B30" s="118" t="s">
        <v>32</v>
      </c>
      <c r="C30" s="7" t="s">
        <v>33</v>
      </c>
      <c r="D30" s="39"/>
      <c r="E30" s="3">
        <v>496</v>
      </c>
      <c r="F30" s="98">
        <f>G30</f>
        <v>0</v>
      </c>
      <c r="G30" s="98">
        <v>0</v>
      </c>
      <c r="H30" s="39">
        <v>0</v>
      </c>
      <c r="I30" s="39">
        <v>0</v>
      </c>
      <c r="J30" s="3">
        <f t="shared" si="3"/>
        <v>0</v>
      </c>
      <c r="K30" s="3">
        <f t="shared" si="4"/>
        <v>0</v>
      </c>
      <c r="L30" s="3">
        <f t="shared" si="5"/>
        <v>-496</v>
      </c>
      <c r="M30" s="3">
        <f t="shared" si="6"/>
        <v>0</v>
      </c>
      <c r="N30" s="45">
        <f t="shared" si="0"/>
      </c>
      <c r="O30" s="45">
        <f t="shared" si="1"/>
      </c>
      <c r="P30" s="45">
        <f t="shared" si="2"/>
        <v>0</v>
      </c>
    </row>
    <row r="31" spans="1:16" ht="15.75">
      <c r="A31" s="131"/>
      <c r="B31" s="118"/>
      <c r="C31" s="10" t="s">
        <v>34</v>
      </c>
      <c r="D31" s="39">
        <v>24926.68</v>
      </c>
      <c r="E31" s="3">
        <v>100081.7</v>
      </c>
      <c r="F31" s="98">
        <v>38000</v>
      </c>
      <c r="G31" s="98">
        <v>8500</v>
      </c>
      <c r="H31" s="39">
        <v>30361.39</v>
      </c>
      <c r="I31" s="39">
        <v>563.88</v>
      </c>
      <c r="J31" s="3">
        <f t="shared" si="3"/>
        <v>5434.709999999999</v>
      </c>
      <c r="K31" s="3">
        <f t="shared" si="4"/>
        <v>-7638.610000000001</v>
      </c>
      <c r="L31" s="3">
        <f t="shared" si="5"/>
        <v>-69720.31</v>
      </c>
      <c r="M31" s="3">
        <f t="shared" si="6"/>
        <v>-7936.12</v>
      </c>
      <c r="N31" s="45">
        <f t="shared" si="0"/>
        <v>1.2180278320257651</v>
      </c>
      <c r="O31" s="45">
        <f t="shared" si="1"/>
        <v>0.798983947368421</v>
      </c>
      <c r="P31" s="45">
        <f t="shared" si="2"/>
        <v>0.3033660499372013</v>
      </c>
    </row>
    <row r="32" spans="1:16" ht="15.75">
      <c r="A32" s="131"/>
      <c r="B32" s="118"/>
      <c r="C32" s="9" t="s">
        <v>35</v>
      </c>
      <c r="D32" s="39">
        <v>271.92</v>
      </c>
      <c r="E32" s="3">
        <v>557</v>
      </c>
      <c r="F32" s="98">
        <v>232</v>
      </c>
      <c r="G32" s="98">
        <v>46.4</v>
      </c>
      <c r="H32" s="39">
        <v>3065.67</v>
      </c>
      <c r="I32" s="39">
        <v>0</v>
      </c>
      <c r="J32" s="3">
        <f t="shared" si="3"/>
        <v>2793.75</v>
      </c>
      <c r="K32" s="3">
        <f t="shared" si="4"/>
        <v>2833.67</v>
      </c>
      <c r="L32" s="3">
        <f t="shared" si="5"/>
        <v>2508.67</v>
      </c>
      <c r="M32" s="3">
        <f t="shared" si="6"/>
        <v>-46.4</v>
      </c>
      <c r="N32" s="45">
        <f t="shared" si="0"/>
        <v>11.274161518093557</v>
      </c>
      <c r="O32" s="45">
        <f t="shared" si="1"/>
        <v>13.214094827586207</v>
      </c>
      <c r="P32" s="45">
        <f t="shared" si="2"/>
        <v>5.503895870736086</v>
      </c>
    </row>
    <row r="33" spans="1:16" ht="15.75">
      <c r="A33" s="131"/>
      <c r="B33" s="118"/>
      <c r="C33" s="9" t="s">
        <v>36</v>
      </c>
      <c r="D33" s="5">
        <f aca="true" t="shared" si="8" ref="D33:I33">D34+D36+D35</f>
        <v>25435.46</v>
      </c>
      <c r="E33" s="5">
        <f t="shared" si="8"/>
        <v>200264</v>
      </c>
      <c r="F33" s="99">
        <f t="shared" si="8"/>
        <v>145730.69999999998</v>
      </c>
      <c r="G33" s="99">
        <f t="shared" si="8"/>
        <v>4580.799999999999</v>
      </c>
      <c r="H33" s="99">
        <f t="shared" si="8"/>
        <v>144326.4</v>
      </c>
      <c r="I33" s="99">
        <f t="shared" si="8"/>
        <v>1010.87</v>
      </c>
      <c r="J33" s="11">
        <f t="shared" si="3"/>
        <v>118890.94</v>
      </c>
      <c r="K33" s="11">
        <f t="shared" si="4"/>
        <v>-1404.2999999999884</v>
      </c>
      <c r="L33" s="11">
        <f t="shared" si="5"/>
        <v>-55937.600000000006</v>
      </c>
      <c r="M33" s="11">
        <f t="shared" si="6"/>
        <v>-3569.9299999999994</v>
      </c>
      <c r="N33" s="45">
        <f t="shared" si="0"/>
        <v>5.674220163504022</v>
      </c>
      <c r="O33" s="45">
        <f t="shared" si="1"/>
        <v>0.9903637325560092</v>
      </c>
      <c r="P33" s="45">
        <f t="shared" si="2"/>
        <v>0.7206807014740542</v>
      </c>
    </row>
    <row r="34" spans="1:16" ht="15.75">
      <c r="A34" s="131"/>
      <c r="B34" s="118"/>
      <c r="C34" s="12" t="s">
        <v>37</v>
      </c>
      <c r="D34" s="41">
        <v>12990.88</v>
      </c>
      <c r="E34" s="110">
        <f>48594.6+85630.3+29092.9</f>
        <v>163317.8</v>
      </c>
      <c r="F34" s="110">
        <v>132346.6</v>
      </c>
      <c r="G34" s="110">
        <v>2527.6</v>
      </c>
      <c r="H34" s="41">
        <v>129259.32</v>
      </c>
      <c r="I34" s="41">
        <v>200</v>
      </c>
      <c r="J34" s="13">
        <f t="shared" si="3"/>
        <v>116268.44</v>
      </c>
      <c r="K34" s="13">
        <f t="shared" si="4"/>
        <v>-3087.279999999999</v>
      </c>
      <c r="L34" s="13">
        <f t="shared" si="5"/>
        <v>-34058.47999999998</v>
      </c>
      <c r="M34" s="13">
        <f t="shared" si="6"/>
        <v>-2327.6</v>
      </c>
      <c r="N34" s="45">
        <f t="shared" si="0"/>
        <v>9.950004926533076</v>
      </c>
      <c r="O34" s="45">
        <f t="shared" si="1"/>
        <v>0.9766727668107832</v>
      </c>
      <c r="P34" s="45">
        <f t="shared" si="2"/>
        <v>0.7914588611896561</v>
      </c>
    </row>
    <row r="35" spans="1:16" ht="15.75">
      <c r="A35" s="131"/>
      <c r="B35" s="118"/>
      <c r="C35" s="12" t="s">
        <v>38</v>
      </c>
      <c r="D35" s="41">
        <v>1307.34</v>
      </c>
      <c r="E35" s="110">
        <v>1867.8</v>
      </c>
      <c r="F35" s="110">
        <v>160.3</v>
      </c>
      <c r="G35" s="110">
        <v>0</v>
      </c>
      <c r="H35" s="41">
        <v>560</v>
      </c>
      <c r="I35" s="41">
        <v>0</v>
      </c>
      <c r="J35" s="13">
        <f t="shared" si="3"/>
        <v>-747.3399999999999</v>
      </c>
      <c r="K35" s="13">
        <f t="shared" si="4"/>
        <v>399.7</v>
      </c>
      <c r="L35" s="13">
        <f t="shared" si="5"/>
        <v>-1307.8</v>
      </c>
      <c r="M35" s="13">
        <f t="shared" si="6"/>
        <v>0</v>
      </c>
      <c r="N35" s="45">
        <f t="shared" si="0"/>
        <v>0.4283506968347943</v>
      </c>
      <c r="O35" s="45">
        <f t="shared" si="1"/>
        <v>3.4934497816593884</v>
      </c>
      <c r="P35" s="45">
        <f t="shared" si="2"/>
        <v>0.29981796766249064</v>
      </c>
    </row>
    <row r="36" spans="1:16" ht="15.75">
      <c r="A36" s="131"/>
      <c r="B36" s="118"/>
      <c r="C36" s="12" t="s">
        <v>39</v>
      </c>
      <c r="D36" s="30">
        <v>11137.24</v>
      </c>
      <c r="E36" s="5">
        <f>35078.4+85630.3-85630.3</f>
        <v>35078.40000000001</v>
      </c>
      <c r="F36" s="99">
        <v>13223.8</v>
      </c>
      <c r="G36" s="99">
        <v>2053.2</v>
      </c>
      <c r="H36" s="30">
        <v>14507.08</v>
      </c>
      <c r="I36" s="41">
        <v>810.87</v>
      </c>
      <c r="J36" s="13">
        <f t="shared" si="3"/>
        <v>3369.84</v>
      </c>
      <c r="K36" s="13">
        <f t="shared" si="4"/>
        <v>1283.2800000000007</v>
      </c>
      <c r="L36" s="13">
        <f t="shared" si="5"/>
        <v>-20571.320000000007</v>
      </c>
      <c r="M36" s="13">
        <f t="shared" si="6"/>
        <v>-1242.33</v>
      </c>
      <c r="N36" s="45">
        <f t="shared" si="0"/>
        <v>1.3025740668244556</v>
      </c>
      <c r="O36" s="45">
        <f t="shared" si="1"/>
        <v>1.0970432099699028</v>
      </c>
      <c r="P36" s="45">
        <f t="shared" si="2"/>
        <v>0.4135616219667943</v>
      </c>
    </row>
    <row r="37" spans="1:16" ht="15.75">
      <c r="A37" s="131"/>
      <c r="B37" s="131"/>
      <c r="C37" s="61" t="s">
        <v>9</v>
      </c>
      <c r="D37" s="30">
        <f>SUM(D30:D33)</f>
        <v>50634.06</v>
      </c>
      <c r="E37" s="30">
        <f>SUM(E30:E33)</f>
        <v>301398.7</v>
      </c>
      <c r="F37" s="113">
        <f>SUM(F30:F33)</f>
        <v>183962.69999999998</v>
      </c>
      <c r="G37" s="113">
        <f>SUM(G30:G33)</f>
        <v>13127.199999999999</v>
      </c>
      <c r="H37" s="113">
        <f>SUM(H30:H33)</f>
        <v>177753.46</v>
      </c>
      <c r="I37" s="113">
        <f>SUM(I30:I33)</f>
        <v>1574.75</v>
      </c>
      <c r="J37" s="30">
        <f t="shared" si="3"/>
        <v>127119.4</v>
      </c>
      <c r="K37" s="30">
        <f t="shared" si="4"/>
        <v>-6209.239999999991</v>
      </c>
      <c r="L37" s="30">
        <f t="shared" si="5"/>
        <v>-123645.24000000002</v>
      </c>
      <c r="M37" s="30">
        <f t="shared" si="6"/>
        <v>-11552.449999999999</v>
      </c>
      <c r="N37" s="60">
        <f aca="true" t="shared" si="9" ref="N37:N68">_xlfn.IFERROR(H37/D37,"")</f>
        <v>3.51055119814607</v>
      </c>
      <c r="O37" s="60">
        <f aca="true" t="shared" si="10" ref="O37:O68">_xlfn.IFERROR(H37/F37,"")</f>
        <v>0.9662472881730917</v>
      </c>
      <c r="P37" s="60">
        <f aca="true" t="shared" si="11" ref="P37:P68">_xlfn.IFERROR(H37/E37,"")</f>
        <v>0.5897618669224518</v>
      </c>
    </row>
    <row r="38" spans="1:16" ht="31.5">
      <c r="A38" s="131" t="s">
        <v>77</v>
      </c>
      <c r="B38" s="118" t="s">
        <v>15</v>
      </c>
      <c r="C38" s="9" t="s">
        <v>41</v>
      </c>
      <c r="D38" s="40">
        <v>115982.31</v>
      </c>
      <c r="E38" s="5">
        <v>326627.4</v>
      </c>
      <c r="F38" s="5">
        <v>122200.5</v>
      </c>
      <c r="G38" s="5">
        <v>7400</v>
      </c>
      <c r="H38" s="40">
        <v>100841.65</v>
      </c>
      <c r="I38" s="40">
        <v>-1586.22</v>
      </c>
      <c r="J38" s="11">
        <f t="shared" si="3"/>
        <v>-15140.660000000003</v>
      </c>
      <c r="K38" s="11">
        <f t="shared" si="4"/>
        <v>-21358.850000000006</v>
      </c>
      <c r="L38" s="11">
        <f t="shared" si="5"/>
        <v>-225785.75000000003</v>
      </c>
      <c r="M38" s="11">
        <f t="shared" si="6"/>
        <v>-8986.22</v>
      </c>
      <c r="N38" s="45">
        <f t="shared" si="9"/>
        <v>0.8694571611825975</v>
      </c>
      <c r="O38" s="45">
        <f t="shared" si="10"/>
        <v>0.8252147086141218</v>
      </c>
      <c r="P38" s="45">
        <f t="shared" si="11"/>
        <v>0.30873603990357207</v>
      </c>
    </row>
    <row r="39" spans="1:16" ht="15.75">
      <c r="A39" s="131"/>
      <c r="B39" s="118"/>
      <c r="C39" s="9" t="s">
        <v>42</v>
      </c>
      <c r="D39" s="40">
        <v>41792.65</v>
      </c>
      <c r="E39" s="5">
        <f>245061.4+9204.6</f>
        <v>254266</v>
      </c>
      <c r="F39" s="5">
        <v>87104.6</v>
      </c>
      <c r="G39" s="5">
        <v>30600</v>
      </c>
      <c r="H39" s="40">
        <v>144649.15</v>
      </c>
      <c r="I39" s="40">
        <v>-27.45</v>
      </c>
      <c r="J39" s="11">
        <f t="shared" si="3"/>
        <v>102856.5</v>
      </c>
      <c r="K39" s="11">
        <f t="shared" si="4"/>
        <v>57544.54999999999</v>
      </c>
      <c r="L39" s="11">
        <f t="shared" si="5"/>
        <v>-109616.85</v>
      </c>
      <c r="M39" s="11">
        <f t="shared" si="6"/>
        <v>-30627.45</v>
      </c>
      <c r="N39" s="45">
        <f t="shared" si="9"/>
        <v>3.4611145739741316</v>
      </c>
      <c r="O39" s="45">
        <f t="shared" si="10"/>
        <v>1.6606373256980687</v>
      </c>
      <c r="P39" s="45">
        <f t="shared" si="11"/>
        <v>0.5688890767935941</v>
      </c>
    </row>
    <row r="40" spans="1:16" ht="31.5">
      <c r="A40" s="131"/>
      <c r="B40" s="118"/>
      <c r="C40" s="7" t="s">
        <v>43</v>
      </c>
      <c r="D40" s="40">
        <v>17201.57</v>
      </c>
      <c r="E40" s="5">
        <f>48566.2-5534.78</f>
        <v>43031.42</v>
      </c>
      <c r="F40" s="5">
        <v>15110</v>
      </c>
      <c r="G40" s="5">
        <v>770</v>
      </c>
      <c r="H40" s="40">
        <v>13268.62</v>
      </c>
      <c r="I40" s="40">
        <v>51.81</v>
      </c>
      <c r="J40" s="5">
        <f t="shared" si="3"/>
        <v>-3932.949999999999</v>
      </c>
      <c r="K40" s="5">
        <f t="shared" si="4"/>
        <v>-1841.3799999999992</v>
      </c>
      <c r="L40" s="5">
        <f t="shared" si="5"/>
        <v>-29762.799999999996</v>
      </c>
      <c r="M40" s="5">
        <f t="shared" si="6"/>
        <v>-718.19</v>
      </c>
      <c r="N40" s="45">
        <f t="shared" si="9"/>
        <v>0.7713609862355588</v>
      </c>
      <c r="O40" s="45">
        <f t="shared" si="10"/>
        <v>0.8781350099272006</v>
      </c>
      <c r="P40" s="45">
        <f t="shared" si="11"/>
        <v>0.30834724952139625</v>
      </c>
    </row>
    <row r="41" spans="1:16" s="43" customFormat="1" ht="25.5" customHeight="1">
      <c r="A41" s="132"/>
      <c r="B41" s="135"/>
      <c r="C41" s="9" t="s">
        <v>42</v>
      </c>
      <c r="D41" s="40">
        <v>955.13</v>
      </c>
      <c r="E41" s="5"/>
      <c r="F41" s="5"/>
      <c r="G41" s="5"/>
      <c r="H41" s="40">
        <v>0</v>
      </c>
      <c r="I41" s="40">
        <v>0</v>
      </c>
      <c r="J41" s="5">
        <f t="shared" si="3"/>
        <v>-955.13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48">
        <f t="shared" si="9"/>
        <v>0</v>
      </c>
      <c r="O41" s="48">
        <f t="shared" si="10"/>
      </c>
      <c r="P41" s="48">
        <f t="shared" si="11"/>
      </c>
    </row>
    <row r="42" spans="1:16" ht="31.5">
      <c r="A42" s="133"/>
      <c r="B42" s="136"/>
      <c r="C42" s="14" t="s">
        <v>82</v>
      </c>
      <c r="D42" s="40">
        <v>1466.3400000000001</v>
      </c>
      <c r="E42" s="5">
        <v>2948.3</v>
      </c>
      <c r="F42" s="5">
        <v>1412.3</v>
      </c>
      <c r="G42" s="5">
        <v>0</v>
      </c>
      <c r="H42" s="40">
        <v>1812.66</v>
      </c>
      <c r="I42" s="40">
        <v>0</v>
      </c>
      <c r="J42" s="5">
        <f t="shared" si="3"/>
        <v>346.31999999999994</v>
      </c>
      <c r="K42" s="5">
        <f t="shared" si="4"/>
        <v>400.3600000000001</v>
      </c>
      <c r="L42" s="5">
        <f t="shared" si="5"/>
        <v>-1135.64</v>
      </c>
      <c r="M42" s="5">
        <f t="shared" si="6"/>
        <v>0</v>
      </c>
      <c r="N42" s="45">
        <f t="shared" si="9"/>
        <v>1.2361798764270222</v>
      </c>
      <c r="O42" s="45">
        <f t="shared" si="10"/>
        <v>1.2834808468455712</v>
      </c>
      <c r="P42" s="45">
        <f t="shared" si="11"/>
        <v>0.6148153173014957</v>
      </c>
    </row>
    <row r="43" spans="1:16" ht="15.75">
      <c r="A43" s="134"/>
      <c r="B43" s="137"/>
      <c r="C43" s="15" t="s">
        <v>86</v>
      </c>
      <c r="D43" s="40">
        <v>56.27</v>
      </c>
      <c r="E43" s="5"/>
      <c r="F43" s="5"/>
      <c r="G43" s="5"/>
      <c r="H43" s="40">
        <v>45.15</v>
      </c>
      <c r="I43" s="40">
        <v>0</v>
      </c>
      <c r="J43" s="5">
        <f t="shared" si="3"/>
        <v>-11.120000000000005</v>
      </c>
      <c r="K43" s="5">
        <f t="shared" si="4"/>
        <v>45.15</v>
      </c>
      <c r="L43" s="5">
        <f t="shared" si="5"/>
        <v>45.15</v>
      </c>
      <c r="M43" s="5">
        <f t="shared" si="6"/>
        <v>0</v>
      </c>
      <c r="N43" s="45">
        <f t="shared" si="9"/>
        <v>0.8023813755109294</v>
      </c>
      <c r="O43" s="45">
        <f t="shared" si="10"/>
      </c>
      <c r="P43" s="45">
        <f t="shared" si="11"/>
      </c>
    </row>
    <row r="44" spans="1:16" ht="27.75" customHeight="1">
      <c r="A44" s="131"/>
      <c r="B44" s="118"/>
      <c r="C44" s="9" t="s">
        <v>44</v>
      </c>
      <c r="D44" s="40">
        <v>59414.1</v>
      </c>
      <c r="E44" s="3">
        <v>104142</v>
      </c>
      <c r="F44" s="3">
        <v>34840</v>
      </c>
      <c r="G44" s="3">
        <v>9600</v>
      </c>
      <c r="H44" s="40">
        <v>76607.86</v>
      </c>
      <c r="I44" s="40">
        <v>19052.170000000002</v>
      </c>
      <c r="J44" s="3">
        <f t="shared" si="3"/>
        <v>17193.760000000002</v>
      </c>
      <c r="K44" s="3">
        <f t="shared" si="4"/>
        <v>41767.86</v>
      </c>
      <c r="L44" s="3">
        <f t="shared" si="5"/>
        <v>-27534.14</v>
      </c>
      <c r="M44" s="3">
        <f t="shared" si="6"/>
        <v>9452.170000000002</v>
      </c>
      <c r="N44" s="45">
        <f t="shared" si="9"/>
        <v>1.2893885458165655</v>
      </c>
      <c r="O44" s="45">
        <f t="shared" si="10"/>
        <v>2.1988478760045926</v>
      </c>
      <c r="P44" s="45">
        <f t="shared" si="11"/>
        <v>0.7356096483647327</v>
      </c>
    </row>
    <row r="45" spans="1:16" s="43" customFormat="1" ht="18" customHeight="1" hidden="1">
      <c r="A45" s="131"/>
      <c r="B45" s="118"/>
      <c r="C45" s="86" t="s">
        <v>45</v>
      </c>
      <c r="E45" s="3">
        <v>0</v>
      </c>
      <c r="F45" s="3"/>
      <c r="G45" s="3"/>
      <c r="H45" s="40">
        <v>0</v>
      </c>
      <c r="I45" s="40">
        <v>0</v>
      </c>
      <c r="J45" s="3">
        <f>H45-D46</f>
        <v>-15160.57</v>
      </c>
      <c r="K45" s="3">
        <f t="shared" si="4"/>
        <v>0</v>
      </c>
      <c r="L45" s="3">
        <f t="shared" si="5"/>
        <v>0</v>
      </c>
      <c r="M45" s="3">
        <f t="shared" si="6"/>
        <v>0</v>
      </c>
      <c r="N45" s="48">
        <f>_xlfn.IFERROR(H45/D46,"")</f>
        <v>0</v>
      </c>
      <c r="O45" s="48">
        <f t="shared" si="10"/>
      </c>
      <c r="P45" s="48">
        <f t="shared" si="11"/>
      </c>
    </row>
    <row r="46" spans="1:16" ht="27.75" customHeight="1">
      <c r="A46" s="131"/>
      <c r="B46" s="118"/>
      <c r="C46" s="9" t="s">
        <v>46</v>
      </c>
      <c r="D46" s="40">
        <v>15160.57</v>
      </c>
      <c r="E46" s="3">
        <v>45272.2</v>
      </c>
      <c r="F46" s="3">
        <v>10300</v>
      </c>
      <c r="G46" s="3">
        <v>2500</v>
      </c>
      <c r="H46" s="39">
        <v>24887.64</v>
      </c>
      <c r="I46" s="39">
        <v>848.47</v>
      </c>
      <c r="J46" s="39">
        <v>5230.72</v>
      </c>
      <c r="K46" s="3">
        <f t="shared" si="4"/>
        <v>14587.64</v>
      </c>
      <c r="L46" s="3">
        <f t="shared" si="5"/>
        <v>-20384.559999999998</v>
      </c>
      <c r="M46" s="3">
        <f t="shared" si="6"/>
        <v>-1651.53</v>
      </c>
      <c r="N46" s="45">
        <f>_xlfn.IFERROR(H46/#REF!,"")</f>
      </c>
      <c r="O46" s="45">
        <f t="shared" si="10"/>
        <v>2.4162757281553398</v>
      </c>
      <c r="P46" s="45">
        <f t="shared" si="11"/>
        <v>0.5497333904692063</v>
      </c>
    </row>
    <row r="47" spans="1:16" ht="15.75">
      <c r="A47" s="131"/>
      <c r="B47" s="131"/>
      <c r="C47" s="61" t="s">
        <v>9</v>
      </c>
      <c r="D47" s="30">
        <f>SUM(D38:D46)</f>
        <v>252028.94</v>
      </c>
      <c r="E47" s="30">
        <f>SUM(E38:E46)</f>
        <v>776287.3200000001</v>
      </c>
      <c r="F47" s="113">
        <f>SUM(F38:F46)</f>
        <v>270967.4</v>
      </c>
      <c r="G47" s="113">
        <f>SUM(G38:G46)</f>
        <v>50870</v>
      </c>
      <c r="H47" s="113">
        <f>SUM(H38:H46)</f>
        <v>362112.73</v>
      </c>
      <c r="I47" s="113">
        <f>SUM(I38:I46)</f>
        <v>18338.780000000002</v>
      </c>
      <c r="J47" s="30">
        <f t="shared" si="3"/>
        <v>110083.78999999998</v>
      </c>
      <c r="K47" s="30">
        <f t="shared" si="4"/>
        <v>91145.32999999996</v>
      </c>
      <c r="L47" s="30">
        <f t="shared" si="5"/>
        <v>-414174.5900000001</v>
      </c>
      <c r="M47" s="30">
        <f t="shared" si="6"/>
        <v>-32531.219999999998</v>
      </c>
      <c r="N47" s="45">
        <f t="shared" si="9"/>
        <v>1.4367902749581059</v>
      </c>
      <c r="O47" s="45">
        <f t="shared" si="10"/>
        <v>1.3363700947051194</v>
      </c>
      <c r="P47" s="45">
        <f t="shared" si="11"/>
        <v>0.46646740281678173</v>
      </c>
    </row>
    <row r="48" spans="1:16" ht="15.75">
      <c r="A48" s="131" t="s">
        <v>47</v>
      </c>
      <c r="B48" s="118" t="s">
        <v>48</v>
      </c>
      <c r="C48" s="7" t="s">
        <v>28</v>
      </c>
      <c r="D48" s="39">
        <v>8187.13</v>
      </c>
      <c r="E48" s="3">
        <v>4487</v>
      </c>
      <c r="F48" s="98">
        <v>4487</v>
      </c>
      <c r="G48" s="98">
        <v>0</v>
      </c>
      <c r="H48" s="39">
        <v>2731.14</v>
      </c>
      <c r="I48" s="39">
        <v>0</v>
      </c>
      <c r="J48" s="8">
        <f t="shared" si="3"/>
        <v>-5455.99</v>
      </c>
      <c r="K48" s="8">
        <f t="shared" si="4"/>
        <v>-1755.8600000000001</v>
      </c>
      <c r="L48" s="8">
        <f t="shared" si="5"/>
        <v>-1755.8600000000001</v>
      </c>
      <c r="M48" s="8">
        <f t="shared" si="6"/>
        <v>0</v>
      </c>
      <c r="N48" s="45">
        <f t="shared" si="9"/>
        <v>0.3335894263313273</v>
      </c>
      <c r="O48" s="45">
        <f t="shared" si="10"/>
        <v>0.6086784042790283</v>
      </c>
      <c r="P48" s="45">
        <f t="shared" si="11"/>
        <v>0.6086784042790283</v>
      </c>
    </row>
    <row r="49" spans="1:16" ht="15.75">
      <c r="A49" s="131"/>
      <c r="B49" s="118"/>
      <c r="C49" s="62" t="s">
        <v>9</v>
      </c>
      <c r="D49" s="30">
        <f>D48</f>
        <v>8187.13</v>
      </c>
      <c r="E49" s="63">
        <f>SUM(E48:E48)</f>
        <v>4487</v>
      </c>
      <c r="F49" s="114">
        <f>SUM(F48:F48)</f>
        <v>4487</v>
      </c>
      <c r="G49" s="114">
        <f>SUM(G48:G48)</f>
        <v>0</v>
      </c>
      <c r="H49" s="114">
        <f>SUM(H48:H48)</f>
        <v>2731.14</v>
      </c>
      <c r="I49" s="114">
        <f>SUM(I48:I48)</f>
        <v>0</v>
      </c>
      <c r="J49" s="64">
        <f t="shared" si="3"/>
        <v>-5455.99</v>
      </c>
      <c r="K49" s="64">
        <f t="shared" si="4"/>
        <v>-1755.8600000000001</v>
      </c>
      <c r="L49" s="64">
        <f t="shared" si="5"/>
        <v>-1755.8600000000001</v>
      </c>
      <c r="M49" s="64">
        <f t="shared" si="6"/>
        <v>0</v>
      </c>
      <c r="N49" s="45">
        <f t="shared" si="9"/>
        <v>0.3335894263313273</v>
      </c>
      <c r="O49" s="45">
        <f t="shared" si="10"/>
        <v>0.6086784042790283</v>
      </c>
      <c r="P49" s="45">
        <f t="shared" si="11"/>
        <v>0.6086784042790283</v>
      </c>
    </row>
    <row r="50" spans="1:16" s="43" customFormat="1" ht="15.75" hidden="1">
      <c r="A50" s="123" t="s">
        <v>50</v>
      </c>
      <c r="B50" s="126" t="s">
        <v>79</v>
      </c>
      <c r="C50" s="87" t="s">
        <v>28</v>
      </c>
      <c r="D50" s="39"/>
      <c r="E50" s="50"/>
      <c r="F50" s="115"/>
      <c r="G50" s="115"/>
      <c r="H50" s="39">
        <v>0</v>
      </c>
      <c r="I50" s="39">
        <v>0</v>
      </c>
      <c r="J50" s="80">
        <f t="shared" si="3"/>
        <v>0</v>
      </c>
      <c r="K50" s="80">
        <f t="shared" si="4"/>
        <v>0</v>
      </c>
      <c r="L50" s="80">
        <f t="shared" si="5"/>
        <v>0</v>
      </c>
      <c r="M50" s="80">
        <f t="shared" si="6"/>
        <v>0</v>
      </c>
      <c r="N50" s="81">
        <f t="shared" si="9"/>
      </c>
      <c r="O50" s="81">
        <f t="shared" si="10"/>
      </c>
      <c r="P50" s="81">
        <f t="shared" si="11"/>
      </c>
    </row>
    <row r="51" spans="1:16" ht="15.75">
      <c r="A51" s="123"/>
      <c r="B51" s="126"/>
      <c r="C51" s="16" t="s">
        <v>89</v>
      </c>
      <c r="D51" s="39">
        <v>139696.23</v>
      </c>
      <c r="E51" s="98">
        <f>537127.7+16130.16</f>
        <v>553257.86</v>
      </c>
      <c r="F51" s="98">
        <v>225908.06</v>
      </c>
      <c r="G51" s="98">
        <v>42843.5</v>
      </c>
      <c r="H51" s="39">
        <v>199222.97</v>
      </c>
      <c r="I51" s="39">
        <v>5784.8</v>
      </c>
      <c r="J51" s="8">
        <f t="shared" si="3"/>
        <v>59526.73999999999</v>
      </c>
      <c r="K51" s="8">
        <f t="shared" si="4"/>
        <v>-26685.089999999997</v>
      </c>
      <c r="L51" s="8">
        <f t="shared" si="5"/>
        <v>-354034.89</v>
      </c>
      <c r="M51" s="8">
        <f t="shared" si="6"/>
        <v>-37058.7</v>
      </c>
      <c r="N51" s="45">
        <f t="shared" si="9"/>
        <v>1.426115579497027</v>
      </c>
      <c r="O51" s="45">
        <f t="shared" si="10"/>
        <v>0.8818763261479028</v>
      </c>
      <c r="P51" s="45">
        <f t="shared" si="11"/>
        <v>0.36009062754210125</v>
      </c>
    </row>
    <row r="52" spans="1:16" ht="15.75">
      <c r="A52" s="138"/>
      <c r="B52" s="139"/>
      <c r="C52" s="16" t="s">
        <v>83</v>
      </c>
      <c r="D52" s="39">
        <v>94342.85</v>
      </c>
      <c r="E52" s="102">
        <f>354489-4173.5</f>
        <v>350315.5</v>
      </c>
      <c r="F52" s="102">
        <v>147550.6</v>
      </c>
      <c r="G52" s="102">
        <v>28688.9</v>
      </c>
      <c r="H52" s="39">
        <v>117061.83</v>
      </c>
      <c r="I52" s="39">
        <v>3772.48</v>
      </c>
      <c r="J52" s="17">
        <f t="shared" si="3"/>
        <v>22718.979999999996</v>
      </c>
      <c r="K52" s="17">
        <f t="shared" si="4"/>
        <v>-30488.770000000004</v>
      </c>
      <c r="L52" s="17">
        <f t="shared" si="5"/>
        <v>-233253.66999999998</v>
      </c>
      <c r="M52" s="17">
        <f t="shared" si="6"/>
        <v>-24916.420000000002</v>
      </c>
      <c r="N52" s="45">
        <f t="shared" si="9"/>
        <v>1.2408129497889877</v>
      </c>
      <c r="O52" s="45">
        <f t="shared" si="10"/>
        <v>0.7933673600785086</v>
      </c>
      <c r="P52" s="45">
        <f t="shared" si="11"/>
        <v>0.33416114902138216</v>
      </c>
    </row>
    <row r="53" spans="1:16" ht="15.75">
      <c r="A53" s="123"/>
      <c r="B53" s="126"/>
      <c r="C53" s="16" t="s">
        <v>84</v>
      </c>
      <c r="D53" s="39">
        <v>1209454.3</v>
      </c>
      <c r="E53" s="99">
        <f>3510723.4+35171.1+96433.35</f>
        <v>3642327.85</v>
      </c>
      <c r="F53" s="99">
        <v>1418198.25</v>
      </c>
      <c r="G53" s="99">
        <v>287662.9</v>
      </c>
      <c r="H53" s="39">
        <v>1292974.6700000002</v>
      </c>
      <c r="I53" s="39">
        <v>70098.06999999999</v>
      </c>
      <c r="J53" s="8">
        <f t="shared" si="3"/>
        <v>83520.37000000011</v>
      </c>
      <c r="K53" s="8">
        <f t="shared" si="4"/>
        <v>-125223.57999999984</v>
      </c>
      <c r="L53" s="8">
        <f t="shared" si="5"/>
        <v>-2349353.1799999997</v>
      </c>
      <c r="M53" s="8">
        <f t="shared" si="6"/>
        <v>-217564.83000000002</v>
      </c>
      <c r="N53" s="45">
        <f t="shared" si="9"/>
        <v>1.0690562429684198</v>
      </c>
      <c r="O53" s="45">
        <f t="shared" si="10"/>
        <v>0.9117023448590492</v>
      </c>
      <c r="P53" s="45">
        <f t="shared" si="11"/>
        <v>0.3549858011820655</v>
      </c>
    </row>
    <row r="54" spans="1:16" ht="15.75">
      <c r="A54" s="138"/>
      <c r="B54" s="139"/>
      <c r="C54" s="16" t="s">
        <v>85</v>
      </c>
      <c r="D54" s="39">
        <v>1045.7</v>
      </c>
      <c r="E54" s="3"/>
      <c r="F54" s="98">
        <v>0</v>
      </c>
      <c r="G54" s="98"/>
      <c r="H54" s="39">
        <v>482.27</v>
      </c>
      <c r="I54" s="39">
        <v>38.75</v>
      </c>
      <c r="J54" s="8">
        <f t="shared" si="3"/>
        <v>-563.4300000000001</v>
      </c>
      <c r="K54" s="8">
        <f t="shared" si="4"/>
        <v>482.27</v>
      </c>
      <c r="L54" s="8">
        <f t="shared" si="5"/>
        <v>482.27</v>
      </c>
      <c r="M54" s="8">
        <f t="shared" si="6"/>
        <v>38.75</v>
      </c>
      <c r="N54" s="45">
        <f t="shared" si="9"/>
        <v>0.4611934589270345</v>
      </c>
      <c r="O54" s="45">
        <f t="shared" si="10"/>
      </c>
      <c r="P54" s="45">
        <f t="shared" si="11"/>
      </c>
    </row>
    <row r="55" spans="1:16" ht="15.75">
      <c r="A55" s="123"/>
      <c r="B55" s="126"/>
      <c r="C55" s="65" t="s">
        <v>9</v>
      </c>
      <c r="D55" s="66">
        <f>SUM(D50:D54)</f>
        <v>1444539.08</v>
      </c>
      <c r="E55" s="66">
        <f>SUM(E50:E54)</f>
        <v>4545901.21</v>
      </c>
      <c r="F55" s="116">
        <f>SUM(F50:F54)</f>
        <v>1791656.9100000001</v>
      </c>
      <c r="G55" s="116">
        <f>SUM(G50:G54)</f>
        <v>359195.30000000005</v>
      </c>
      <c r="H55" s="116">
        <f>SUM(H50:H54)</f>
        <v>1609741.7400000002</v>
      </c>
      <c r="I55" s="116">
        <f>SUM(I50:I54)</f>
        <v>79694.09999999999</v>
      </c>
      <c r="J55" s="66">
        <f t="shared" si="3"/>
        <v>165202.66000000015</v>
      </c>
      <c r="K55" s="66">
        <f t="shared" si="4"/>
        <v>-181915.16999999993</v>
      </c>
      <c r="L55" s="66">
        <f t="shared" si="5"/>
        <v>-2936159.4699999997</v>
      </c>
      <c r="M55" s="66">
        <f t="shared" si="6"/>
        <v>-279501.20000000007</v>
      </c>
      <c r="N55" s="45">
        <f t="shared" si="9"/>
        <v>1.1143635795578477</v>
      </c>
      <c r="O55" s="45">
        <f t="shared" si="10"/>
        <v>0.8984653987129713</v>
      </c>
      <c r="P55" s="45">
        <f t="shared" si="11"/>
        <v>0.3541083859145281</v>
      </c>
    </row>
    <row r="56" spans="1:16" ht="15.75">
      <c r="A56" s="140">
        <v>991</v>
      </c>
      <c r="B56" s="140" t="s">
        <v>52</v>
      </c>
      <c r="C56" s="9" t="s">
        <v>53</v>
      </c>
      <c r="D56" s="40">
        <v>18050.44</v>
      </c>
      <c r="E56" s="5">
        <v>54298.2</v>
      </c>
      <c r="F56" s="99">
        <v>21200</v>
      </c>
      <c r="G56" s="99">
        <v>4200</v>
      </c>
      <c r="H56" s="40">
        <v>18465.98</v>
      </c>
      <c r="I56" s="40">
        <v>618.48</v>
      </c>
      <c r="J56" s="5">
        <f t="shared" si="3"/>
        <v>415.5400000000009</v>
      </c>
      <c r="K56" s="5">
        <f t="shared" si="4"/>
        <v>-2734.0200000000004</v>
      </c>
      <c r="L56" s="5">
        <f t="shared" si="5"/>
        <v>-35832.22</v>
      </c>
      <c r="M56" s="5">
        <f t="shared" si="6"/>
        <v>-3581.52</v>
      </c>
      <c r="N56" s="45">
        <f t="shared" si="9"/>
        <v>1.0230210454703599</v>
      </c>
      <c r="O56" s="45">
        <f t="shared" si="10"/>
        <v>0.8710367924528302</v>
      </c>
      <c r="P56" s="45">
        <f t="shared" si="11"/>
        <v>0.340084570022579</v>
      </c>
    </row>
    <row r="57" spans="1:16" ht="15.75">
      <c r="A57" s="140"/>
      <c r="B57" s="140"/>
      <c r="C57" s="7" t="s">
        <v>54</v>
      </c>
      <c r="D57" s="40">
        <v>1849</v>
      </c>
      <c r="E57" s="5"/>
      <c r="F57" s="99"/>
      <c r="G57" s="99"/>
      <c r="H57" s="40">
        <v>2263.47</v>
      </c>
      <c r="I57" s="40">
        <v>0</v>
      </c>
      <c r="J57" s="5">
        <f t="shared" si="3"/>
        <v>414.4699999999998</v>
      </c>
      <c r="K57" s="5">
        <f t="shared" si="4"/>
        <v>2263.47</v>
      </c>
      <c r="L57" s="5">
        <f t="shared" si="5"/>
        <v>2263.47</v>
      </c>
      <c r="M57" s="5">
        <f t="shared" si="6"/>
        <v>0</v>
      </c>
      <c r="N57" s="48">
        <f t="shared" si="9"/>
        <v>1.2241590048674957</v>
      </c>
      <c r="O57" s="48">
        <f t="shared" si="10"/>
      </c>
      <c r="P57" s="48">
        <f t="shared" si="11"/>
      </c>
    </row>
    <row r="58" spans="1:16" ht="15.75" hidden="1">
      <c r="A58" s="140"/>
      <c r="B58" s="140"/>
      <c r="C58" s="88" t="s">
        <v>55</v>
      </c>
      <c r="D58" s="40"/>
      <c r="E58" s="3"/>
      <c r="F58" s="98"/>
      <c r="G58" s="98"/>
      <c r="H58" s="40">
        <v>0</v>
      </c>
      <c r="I58" s="40">
        <v>0</v>
      </c>
      <c r="J58" s="3">
        <f t="shared" si="3"/>
        <v>0</v>
      </c>
      <c r="K58" s="3">
        <f t="shared" si="4"/>
        <v>0</v>
      </c>
      <c r="L58" s="3">
        <f t="shared" si="5"/>
        <v>0</v>
      </c>
      <c r="M58" s="3">
        <f t="shared" si="6"/>
        <v>0</v>
      </c>
      <c r="N58" s="48">
        <f t="shared" si="9"/>
      </c>
      <c r="O58" s="48">
        <f t="shared" si="10"/>
      </c>
      <c r="P58" s="48">
        <f t="shared" si="11"/>
      </c>
    </row>
    <row r="59" spans="1:16" ht="15.75">
      <c r="A59" s="140"/>
      <c r="B59" s="140"/>
      <c r="C59" s="61" t="s">
        <v>9</v>
      </c>
      <c r="D59" s="30">
        <f>SUM(D56:D58)</f>
        <v>19899.44</v>
      </c>
      <c r="E59" s="30">
        <f>SUM(E56:E58)</f>
        <v>54298.2</v>
      </c>
      <c r="F59" s="113">
        <f>SUM(F56:F58)</f>
        <v>21200</v>
      </c>
      <c r="G59" s="113">
        <f>SUM(G56:G58)</f>
        <v>4200</v>
      </c>
      <c r="H59" s="113">
        <f>SUM(H56:H58)</f>
        <v>20729.45</v>
      </c>
      <c r="I59" s="113">
        <f>SUM(I56:I58)</f>
        <v>618.48</v>
      </c>
      <c r="J59" s="30">
        <f t="shared" si="3"/>
        <v>830.010000000002</v>
      </c>
      <c r="K59" s="30">
        <f t="shared" si="4"/>
        <v>-470.5499999999993</v>
      </c>
      <c r="L59" s="30">
        <f t="shared" si="5"/>
        <v>-33568.75</v>
      </c>
      <c r="M59" s="30">
        <f t="shared" si="6"/>
        <v>-3581.52</v>
      </c>
      <c r="N59" s="60">
        <f t="shared" si="9"/>
        <v>1.0417102189810368</v>
      </c>
      <c r="O59" s="60">
        <f t="shared" si="10"/>
        <v>0.9778042452830189</v>
      </c>
      <c r="P59" s="60">
        <f t="shared" si="11"/>
        <v>0.38177048226276383</v>
      </c>
    </row>
    <row r="60" spans="1:16" ht="15.75">
      <c r="A60" s="131" t="s">
        <v>56</v>
      </c>
      <c r="B60" s="118" t="s">
        <v>57</v>
      </c>
      <c r="C60" s="7" t="s">
        <v>58</v>
      </c>
      <c r="D60" s="40">
        <v>2472.5700000000006</v>
      </c>
      <c r="E60" s="5">
        <v>7767.5</v>
      </c>
      <c r="F60" s="99">
        <v>3663.5</v>
      </c>
      <c r="G60" s="99">
        <v>54.8</v>
      </c>
      <c r="H60" s="38">
        <v>6576.38</v>
      </c>
      <c r="I60" s="38">
        <v>3.6</v>
      </c>
      <c r="J60" s="5">
        <f t="shared" si="3"/>
        <v>4103.8099999999995</v>
      </c>
      <c r="K60" s="5">
        <f t="shared" si="4"/>
        <v>2912.88</v>
      </c>
      <c r="L60" s="5">
        <f t="shared" si="5"/>
        <v>-1191.12</v>
      </c>
      <c r="M60" s="5">
        <f t="shared" si="6"/>
        <v>-51.199999999999996</v>
      </c>
      <c r="N60" s="45">
        <f t="shared" si="9"/>
        <v>2.6597346081202953</v>
      </c>
      <c r="O60" s="45">
        <f t="shared" si="10"/>
        <v>1.7951085027978708</v>
      </c>
      <c r="P60" s="45">
        <f t="shared" si="11"/>
        <v>0.8466533633730287</v>
      </c>
    </row>
    <row r="61" spans="1:16" ht="15.75">
      <c r="A61" s="131"/>
      <c r="B61" s="118"/>
      <c r="C61" s="61" t="s">
        <v>9</v>
      </c>
      <c r="D61" s="30">
        <f aca="true" t="shared" si="12" ref="D61:J61">D60</f>
        <v>2472.5700000000006</v>
      </c>
      <c r="E61" s="30">
        <f t="shared" si="12"/>
        <v>7767.5</v>
      </c>
      <c r="F61" s="113">
        <f t="shared" si="12"/>
        <v>3663.5</v>
      </c>
      <c r="G61" s="113">
        <f t="shared" si="12"/>
        <v>54.8</v>
      </c>
      <c r="H61" s="113">
        <f t="shared" si="12"/>
        <v>6576.38</v>
      </c>
      <c r="I61" s="113">
        <f t="shared" si="12"/>
        <v>3.6</v>
      </c>
      <c r="J61" s="68">
        <f t="shared" si="12"/>
        <v>4103.8099999999995</v>
      </c>
      <c r="K61" s="68">
        <f t="shared" si="4"/>
        <v>2912.88</v>
      </c>
      <c r="L61" s="68">
        <f t="shared" si="5"/>
        <v>-1191.12</v>
      </c>
      <c r="M61" s="68">
        <f t="shared" si="6"/>
        <v>-51.199999999999996</v>
      </c>
      <c r="N61" s="60">
        <f t="shared" si="9"/>
        <v>2.6597346081202953</v>
      </c>
      <c r="O61" s="60">
        <f t="shared" si="10"/>
        <v>1.7951085027978708</v>
      </c>
      <c r="P61" s="60">
        <f t="shared" si="11"/>
        <v>0.8466533633730287</v>
      </c>
    </row>
    <row r="62" spans="1:16" ht="15.75" hidden="1">
      <c r="A62" s="151" t="s">
        <v>59</v>
      </c>
      <c r="B62" s="149" t="s">
        <v>60</v>
      </c>
      <c r="C62" s="88" t="s">
        <v>55</v>
      </c>
      <c r="D62" s="39"/>
      <c r="E62" s="5"/>
      <c r="F62" s="5"/>
      <c r="G62" s="5"/>
      <c r="H62" s="17">
        <v>0</v>
      </c>
      <c r="I62" s="17">
        <v>0</v>
      </c>
      <c r="J62" s="5">
        <f aca="true" t="shared" si="13" ref="J62:J86">H62-D62</f>
        <v>0</v>
      </c>
      <c r="K62" s="5">
        <f t="shared" si="4"/>
        <v>0</v>
      </c>
      <c r="L62" s="5">
        <f t="shared" si="5"/>
        <v>0</v>
      </c>
      <c r="M62" s="5">
        <f t="shared" si="6"/>
        <v>0</v>
      </c>
      <c r="N62" s="48">
        <f t="shared" si="9"/>
      </c>
      <c r="O62" s="48">
        <f t="shared" si="10"/>
      </c>
      <c r="P62" s="48">
        <f t="shared" si="11"/>
      </c>
    </row>
    <row r="63" spans="1:16" ht="15.75" hidden="1">
      <c r="A63" s="152"/>
      <c r="B63" s="150"/>
      <c r="C63" s="89" t="s">
        <v>9</v>
      </c>
      <c r="D63" s="30">
        <v>0</v>
      </c>
      <c r="E63" s="66">
        <f>E62</f>
        <v>0</v>
      </c>
      <c r="F63" s="66">
        <f>G63</f>
        <v>0</v>
      </c>
      <c r="G63" s="66">
        <f>G62</f>
        <v>0</v>
      </c>
      <c r="H63" s="66">
        <v>0</v>
      </c>
      <c r="I63" s="66">
        <v>0</v>
      </c>
      <c r="J63" s="82">
        <f t="shared" si="13"/>
        <v>0</v>
      </c>
      <c r="K63" s="82">
        <f t="shared" si="4"/>
        <v>0</v>
      </c>
      <c r="L63" s="82">
        <f t="shared" si="5"/>
        <v>0</v>
      </c>
      <c r="M63" s="82">
        <f t="shared" si="6"/>
        <v>0</v>
      </c>
      <c r="N63" s="48">
        <f t="shared" si="9"/>
      </c>
      <c r="O63" s="48">
        <f t="shared" si="10"/>
      </c>
      <c r="P63" s="48">
        <f t="shared" si="11"/>
      </c>
    </row>
    <row r="64" spans="1:16" ht="15.75">
      <c r="A64" s="118"/>
      <c r="B64" s="118" t="s">
        <v>61</v>
      </c>
      <c r="C64" s="10" t="s">
        <v>62</v>
      </c>
      <c r="D64" s="40">
        <v>384.78000000000003</v>
      </c>
      <c r="E64" s="5">
        <v>41.2</v>
      </c>
      <c r="F64" s="5">
        <v>41.2</v>
      </c>
      <c r="G64" s="5">
        <v>5.6</v>
      </c>
      <c r="H64" s="38">
        <v>72.45</v>
      </c>
      <c r="I64" s="38">
        <v>0</v>
      </c>
      <c r="J64" s="5">
        <f t="shared" si="13"/>
        <v>-312.33000000000004</v>
      </c>
      <c r="K64" s="5">
        <f t="shared" si="4"/>
        <v>31.25</v>
      </c>
      <c r="L64" s="5">
        <f t="shared" si="5"/>
        <v>31.25</v>
      </c>
      <c r="M64" s="5">
        <f t="shared" si="6"/>
        <v>-5.6</v>
      </c>
      <c r="N64" s="45">
        <f t="shared" si="9"/>
        <v>0.18828941213160766</v>
      </c>
      <c r="O64" s="45">
        <f t="shared" si="10"/>
        <v>1.758495145631068</v>
      </c>
      <c r="P64" s="45">
        <f t="shared" si="11"/>
        <v>1.758495145631068</v>
      </c>
    </row>
    <row r="65" spans="1:16" ht="15.75">
      <c r="A65" s="136"/>
      <c r="B65" s="136"/>
      <c r="C65" s="7" t="s">
        <v>100</v>
      </c>
      <c r="D65" s="18">
        <v>17.959999999999997</v>
      </c>
      <c r="E65" s="18">
        <v>47.1</v>
      </c>
      <c r="F65" s="18">
        <v>47.1</v>
      </c>
      <c r="G65" s="18">
        <v>0</v>
      </c>
      <c r="H65" s="42">
        <v>267.94</v>
      </c>
      <c r="I65" s="42">
        <v>213.03</v>
      </c>
      <c r="J65" s="18">
        <f t="shared" si="13"/>
        <v>249.98</v>
      </c>
      <c r="K65" s="18">
        <f t="shared" si="4"/>
        <v>220.84</v>
      </c>
      <c r="L65" s="18">
        <f t="shared" si="5"/>
        <v>220.84</v>
      </c>
      <c r="M65" s="18">
        <f t="shared" si="6"/>
        <v>213.03</v>
      </c>
      <c r="N65" s="45">
        <f t="shared" si="9"/>
        <v>14.918708240534523</v>
      </c>
      <c r="O65" s="45">
        <f t="shared" si="10"/>
        <v>5.688747346072186</v>
      </c>
      <c r="P65" s="45">
        <f t="shared" si="11"/>
        <v>5.688747346072186</v>
      </c>
    </row>
    <row r="66" spans="1:16" ht="15.75">
      <c r="A66" s="118"/>
      <c r="B66" s="118"/>
      <c r="C66" s="7" t="s">
        <v>28</v>
      </c>
      <c r="D66" s="40">
        <v>9531</v>
      </c>
      <c r="E66" s="5">
        <v>6100</v>
      </c>
      <c r="F66" s="5">
        <v>6100</v>
      </c>
      <c r="G66" s="5">
        <v>0</v>
      </c>
      <c r="H66" s="38">
        <v>7387.5</v>
      </c>
      <c r="I66" s="38">
        <v>0</v>
      </c>
      <c r="J66" s="5">
        <f t="shared" si="13"/>
        <v>-2143.5</v>
      </c>
      <c r="K66" s="5">
        <f t="shared" si="4"/>
        <v>1287.5</v>
      </c>
      <c r="L66" s="5">
        <f t="shared" si="5"/>
        <v>1287.5</v>
      </c>
      <c r="M66" s="5">
        <f t="shared" si="6"/>
        <v>0</v>
      </c>
      <c r="N66" s="45">
        <f t="shared" si="9"/>
        <v>0.7751022977651872</v>
      </c>
      <c r="O66" s="45">
        <f t="shared" si="10"/>
        <v>1.2110655737704918</v>
      </c>
      <c r="P66" s="45">
        <f t="shared" si="11"/>
        <v>1.2110655737704918</v>
      </c>
    </row>
    <row r="67" spans="1:16" ht="31.5">
      <c r="A67" s="118"/>
      <c r="B67" s="118"/>
      <c r="C67" s="7" t="s">
        <v>49</v>
      </c>
      <c r="D67" s="40">
        <v>9550.240000000176</v>
      </c>
      <c r="E67" s="3">
        <v>680.5</v>
      </c>
      <c r="F67" s="3">
        <v>270</v>
      </c>
      <c r="G67" s="3">
        <v>60</v>
      </c>
      <c r="H67" s="40">
        <v>21967.440000000017</v>
      </c>
      <c r="I67" s="40">
        <v>695.0700000000047</v>
      </c>
      <c r="J67" s="3">
        <f t="shared" si="13"/>
        <v>12417.19999999984</v>
      </c>
      <c r="K67" s="3">
        <f t="shared" si="4"/>
        <v>21697.440000000017</v>
      </c>
      <c r="L67" s="3">
        <f t="shared" si="5"/>
        <v>21286.940000000017</v>
      </c>
      <c r="M67" s="3">
        <f t="shared" si="6"/>
        <v>635.0700000000047</v>
      </c>
      <c r="N67" s="45">
        <f t="shared" si="9"/>
        <v>2.300197691366878</v>
      </c>
      <c r="O67" s="45">
        <f t="shared" si="10"/>
        <v>81.36088888888895</v>
      </c>
      <c r="P67" s="45">
        <f t="shared" si="11"/>
        <v>32.28132255694345</v>
      </c>
    </row>
    <row r="68" spans="1:16" ht="15.75">
      <c r="A68" s="118"/>
      <c r="B68" s="118"/>
      <c r="C68" s="7" t="s">
        <v>51</v>
      </c>
      <c r="D68" s="39">
        <v>33294.30999999998</v>
      </c>
      <c r="E68" s="3">
        <f>86939.9+8662.9</f>
        <v>95602.79999999999</v>
      </c>
      <c r="F68" s="3">
        <v>32615.7</v>
      </c>
      <c r="G68" s="3">
        <v>6540.5</v>
      </c>
      <c r="H68" s="102">
        <v>33870.47</v>
      </c>
      <c r="I68" s="102">
        <v>1031.6200000000008</v>
      </c>
      <c r="J68" s="3">
        <f t="shared" si="13"/>
        <v>576.160000000018</v>
      </c>
      <c r="K68" s="3">
        <f t="shared" si="4"/>
        <v>1254.7700000000004</v>
      </c>
      <c r="L68" s="3">
        <f t="shared" si="5"/>
        <v>-61732.32999999999</v>
      </c>
      <c r="M68" s="3">
        <f t="shared" si="6"/>
        <v>-5508.879999999999</v>
      </c>
      <c r="N68" s="45">
        <f t="shared" si="9"/>
        <v>1.01730505903261</v>
      </c>
      <c r="O68" s="45">
        <f t="shared" si="10"/>
        <v>1.0384713496874205</v>
      </c>
      <c r="P68" s="45">
        <f t="shared" si="11"/>
        <v>0.3542832427502124</v>
      </c>
    </row>
    <row r="69" spans="1:16" ht="15.75">
      <c r="A69" s="118"/>
      <c r="B69" s="118"/>
      <c r="C69" s="7" t="s">
        <v>63</v>
      </c>
      <c r="D69" s="39">
        <v>-7.280000000000015</v>
      </c>
      <c r="E69" s="3"/>
      <c r="F69" s="3"/>
      <c r="G69" s="3"/>
      <c r="H69" s="102">
        <v>-5854.4</v>
      </c>
      <c r="I69" s="102">
        <v>1.1500000000000057</v>
      </c>
      <c r="J69" s="3">
        <f t="shared" si="13"/>
        <v>-5847.12</v>
      </c>
      <c r="K69" s="3">
        <f t="shared" si="4"/>
        <v>-5854.4</v>
      </c>
      <c r="L69" s="3">
        <f t="shared" si="5"/>
        <v>-5854.4</v>
      </c>
      <c r="M69" s="3">
        <f t="shared" si="6"/>
        <v>1.1500000000000057</v>
      </c>
      <c r="N69" s="45">
        <f aca="true" t="shared" si="14" ref="N69:N85">_xlfn.IFERROR(H69/D69,"")</f>
        <v>804.1758241758224</v>
      </c>
      <c r="O69" s="45">
        <f aca="true" t="shared" si="15" ref="O69:O86">_xlfn.IFERROR(H69/F69,"")</f>
      </c>
      <c r="P69" s="45">
        <f aca="true" t="shared" si="16" ref="P69:P86">_xlfn.IFERROR(H69/E69,"")</f>
      </c>
    </row>
    <row r="70" spans="1:16" ht="15.75">
      <c r="A70" s="118"/>
      <c r="B70" s="118"/>
      <c r="C70" s="7" t="s">
        <v>40</v>
      </c>
      <c r="D70" s="39">
        <f>7422.62+55.16</f>
        <v>7477.78</v>
      </c>
      <c r="E70" s="3">
        <v>16333.1</v>
      </c>
      <c r="F70" s="3">
        <v>2900</v>
      </c>
      <c r="G70" s="3">
        <v>950</v>
      </c>
      <c r="H70" s="102">
        <v>28415.83</v>
      </c>
      <c r="I70" s="102">
        <v>1563.42</v>
      </c>
      <c r="J70" s="3">
        <f t="shared" si="13"/>
        <v>20938.050000000003</v>
      </c>
      <c r="K70" s="3">
        <f aca="true" t="shared" si="17" ref="K70:K86">H70-F70</f>
        <v>25515.83</v>
      </c>
      <c r="L70" s="3">
        <f aca="true" t="shared" si="18" ref="L70:L86">H70-E70</f>
        <v>12082.730000000001</v>
      </c>
      <c r="M70" s="3">
        <f aca="true" t="shared" si="19" ref="M70:M85">I70-G70</f>
        <v>613.4200000000001</v>
      </c>
      <c r="N70" s="45">
        <f t="shared" si="14"/>
        <v>3.8000355720548082</v>
      </c>
      <c r="O70" s="45">
        <f t="shared" si="15"/>
        <v>9.798562068965518</v>
      </c>
      <c r="P70" s="45">
        <f t="shared" si="16"/>
        <v>1.739769547728233</v>
      </c>
    </row>
    <row r="71" spans="1:16" ht="15.75">
      <c r="A71" s="155"/>
      <c r="B71" s="155"/>
      <c r="C71" s="7" t="s">
        <v>102</v>
      </c>
      <c r="D71" s="39">
        <v>1988.23</v>
      </c>
      <c r="E71" s="3">
        <v>0</v>
      </c>
      <c r="F71" s="3">
        <f>G71</f>
        <v>0</v>
      </c>
      <c r="G71" s="3">
        <v>0</v>
      </c>
      <c r="H71" s="102">
        <v>795.93</v>
      </c>
      <c r="I71" s="102">
        <v>0</v>
      </c>
      <c r="J71" s="3">
        <f t="shared" si="13"/>
        <v>-1192.3000000000002</v>
      </c>
      <c r="K71" s="3">
        <f t="shared" si="17"/>
        <v>795.93</v>
      </c>
      <c r="L71" s="3">
        <f t="shared" si="18"/>
        <v>795.93</v>
      </c>
      <c r="M71" s="3">
        <f t="shared" si="19"/>
        <v>0</v>
      </c>
      <c r="N71" s="45">
        <f t="shared" si="14"/>
        <v>0.40032088842840113</v>
      </c>
      <c r="O71" s="45">
        <f t="shared" si="15"/>
      </c>
      <c r="P71" s="45">
        <f t="shared" si="16"/>
      </c>
    </row>
    <row r="72" spans="1:16" ht="15.75">
      <c r="A72" s="118"/>
      <c r="B72" s="118"/>
      <c r="C72" s="61" t="s">
        <v>64</v>
      </c>
      <c r="D72" s="30">
        <f>SUM(D64:D71)</f>
        <v>62237.020000000164</v>
      </c>
      <c r="E72" s="30">
        <f>SUM(E64:E71)</f>
        <v>118804.7</v>
      </c>
      <c r="F72" s="30">
        <f>SUM(F64:F71)</f>
        <v>41974</v>
      </c>
      <c r="G72" s="30">
        <f>SUM(G64:G71)</f>
        <v>7556.1</v>
      </c>
      <c r="H72" s="30">
        <f>SUM(H64:H71)</f>
        <v>86923.16</v>
      </c>
      <c r="I72" s="30">
        <f>SUM(I64:I71)</f>
        <v>3504.2900000000054</v>
      </c>
      <c r="J72" s="68">
        <f t="shared" si="13"/>
        <v>24686.13999999984</v>
      </c>
      <c r="K72" s="68">
        <f t="shared" si="17"/>
        <v>44949.16</v>
      </c>
      <c r="L72" s="68">
        <f t="shared" si="18"/>
        <v>-31881.539999999994</v>
      </c>
      <c r="M72" s="68">
        <f t="shared" si="19"/>
        <v>-4051.809999999995</v>
      </c>
      <c r="N72" s="60">
        <f t="shared" si="14"/>
        <v>1.3966472045094669</v>
      </c>
      <c r="O72" s="60">
        <f t="shared" si="15"/>
        <v>2.070881021584791</v>
      </c>
      <c r="P72" s="60">
        <f t="shared" si="16"/>
        <v>0.731647485326759</v>
      </c>
    </row>
    <row r="73" spans="1:19" ht="25.5" customHeight="1">
      <c r="A73" s="156" t="s">
        <v>65</v>
      </c>
      <c r="B73" s="156"/>
      <c r="C73" s="156"/>
      <c r="D73" s="69">
        <f>D5+D22</f>
        <v>6924725.4</v>
      </c>
      <c r="E73" s="107">
        <f>E5+E22</f>
        <v>26226995.930000003</v>
      </c>
      <c r="F73" s="69">
        <f>F5+F22</f>
        <v>9085577.41</v>
      </c>
      <c r="G73" s="69">
        <f>G5+G22</f>
        <v>3624381.3000000003</v>
      </c>
      <c r="H73" s="69">
        <f>H5+H22</f>
        <v>7157511.61</v>
      </c>
      <c r="I73" s="69">
        <f>I5+I22</f>
        <v>151779.83000000002</v>
      </c>
      <c r="J73" s="70">
        <f t="shared" si="13"/>
        <v>232786.20999999996</v>
      </c>
      <c r="K73" s="70">
        <f t="shared" si="17"/>
        <v>-1928065.7999999998</v>
      </c>
      <c r="L73" s="70">
        <f t="shared" si="18"/>
        <v>-19069484.320000004</v>
      </c>
      <c r="M73" s="70">
        <f t="shared" si="19"/>
        <v>-3472601.47</v>
      </c>
      <c r="N73" s="71">
        <f t="shared" si="14"/>
        <v>1.0336166702003808</v>
      </c>
      <c r="O73" s="71">
        <f t="shared" si="15"/>
        <v>0.787788303044132</v>
      </c>
      <c r="P73" s="71">
        <f t="shared" si="16"/>
        <v>0.2729062691397611</v>
      </c>
      <c r="R73" s="74"/>
      <c r="S73" s="83"/>
    </row>
    <row r="74" spans="1:16" ht="15.75" hidden="1">
      <c r="A74" s="157" t="s">
        <v>81</v>
      </c>
      <c r="B74" s="158"/>
      <c r="C74" s="159"/>
      <c r="D74" s="69">
        <v>3770698.64</v>
      </c>
      <c r="E74" s="69">
        <f>E73-E53-E51-E52</f>
        <v>21681094.720000003</v>
      </c>
      <c r="F74" s="69">
        <f>G74</f>
        <v>3265186.0000000005</v>
      </c>
      <c r="G74" s="69">
        <f>G73-G53-G51-G52</f>
        <v>3265186.0000000005</v>
      </c>
      <c r="H74" s="69">
        <v>5522345.42</v>
      </c>
      <c r="I74" s="69">
        <v>46217.76000000002</v>
      </c>
      <c r="J74" s="69">
        <f t="shared" si="13"/>
        <v>1751646.7799999998</v>
      </c>
      <c r="K74" s="69">
        <f t="shared" si="17"/>
        <v>2257159.4199999995</v>
      </c>
      <c r="L74" s="69">
        <f t="shared" si="18"/>
        <v>-16158749.300000003</v>
      </c>
      <c r="M74" s="69">
        <f t="shared" si="19"/>
        <v>-3218968.24</v>
      </c>
      <c r="N74" s="84">
        <f t="shared" si="14"/>
        <v>1.464541706255263</v>
      </c>
      <c r="O74" s="84">
        <f t="shared" si="15"/>
        <v>1.6912805028564986</v>
      </c>
      <c r="P74" s="84">
        <f t="shared" si="16"/>
        <v>0.2547078683672666</v>
      </c>
    </row>
    <row r="75" spans="1:16" ht="33" customHeight="1">
      <c r="A75" s="160"/>
      <c r="B75" s="143"/>
      <c r="C75" s="54" t="s">
        <v>66</v>
      </c>
      <c r="D75" s="92">
        <f>SUM(D76:D84)</f>
        <v>6741435.309999999</v>
      </c>
      <c r="E75" s="52">
        <f>SUM(E76:E84)</f>
        <v>24219620.78</v>
      </c>
      <c r="F75" s="52">
        <f>SUM(F76:F84)</f>
        <v>7486046.160000001</v>
      </c>
      <c r="G75" s="52">
        <f>SUM(G76:G84)</f>
        <v>1599601.4499999997</v>
      </c>
      <c r="H75" s="52">
        <f>SUM(H76:H84)</f>
        <v>7333192.69</v>
      </c>
      <c r="I75" s="52">
        <f>SUM(I76:I84)</f>
        <v>1256844.0099999998</v>
      </c>
      <c r="J75" s="55">
        <f t="shared" si="13"/>
        <v>591757.3800000018</v>
      </c>
      <c r="K75" s="55">
        <f t="shared" si="17"/>
        <v>-152853.47000000067</v>
      </c>
      <c r="L75" s="55">
        <f t="shared" si="18"/>
        <v>-16886428.09</v>
      </c>
      <c r="M75" s="55">
        <f t="shared" si="19"/>
        <v>-342757.43999999994</v>
      </c>
      <c r="N75" s="56">
        <f t="shared" si="14"/>
        <v>1.0877791379414723</v>
      </c>
      <c r="O75" s="56">
        <f t="shared" si="15"/>
        <v>0.9795815485594066</v>
      </c>
      <c r="P75" s="56">
        <f t="shared" si="16"/>
        <v>0.3027790053614539</v>
      </c>
    </row>
    <row r="76" spans="1:16" ht="31.5">
      <c r="A76" s="160"/>
      <c r="B76" s="143"/>
      <c r="C76" s="19" t="s">
        <v>67</v>
      </c>
      <c r="D76" s="39">
        <v>539943.4</v>
      </c>
      <c r="E76" s="19">
        <v>384548</v>
      </c>
      <c r="F76" s="3">
        <v>320133.9</v>
      </c>
      <c r="G76" s="3">
        <v>31556</v>
      </c>
      <c r="H76" s="109">
        <v>288577.9</v>
      </c>
      <c r="I76" s="109">
        <v>0</v>
      </c>
      <c r="J76" s="3">
        <f aca="true" t="shared" si="20" ref="J76:J82">H76-D76</f>
        <v>-251365.5</v>
      </c>
      <c r="K76" s="3">
        <f>H76-F76</f>
        <v>-31556</v>
      </c>
      <c r="L76" s="3">
        <f>H76-E76</f>
        <v>-95970.09999999998</v>
      </c>
      <c r="M76" s="3">
        <f>I76-G76</f>
        <v>-31556</v>
      </c>
      <c r="N76" s="46">
        <f t="shared" si="14"/>
        <v>0.5344595377959986</v>
      </c>
      <c r="O76" s="46">
        <f t="shared" si="15"/>
        <v>0.9014287459091337</v>
      </c>
      <c r="P76" s="46">
        <f t="shared" si="16"/>
        <v>0.7504340160396102</v>
      </c>
    </row>
    <row r="77" spans="1:16" ht="15.75">
      <c r="A77" s="160"/>
      <c r="B77" s="143"/>
      <c r="C77" s="20" t="s">
        <v>68</v>
      </c>
      <c r="D77" s="39">
        <v>765758.7499999999</v>
      </c>
      <c r="E77" s="97">
        <f>6534340.88</f>
        <v>6534340.88</v>
      </c>
      <c r="F77" s="3">
        <v>1040184.7500000001</v>
      </c>
      <c r="G77" s="39">
        <v>15591.24</v>
      </c>
      <c r="H77" s="109">
        <v>1040184.7500000001</v>
      </c>
      <c r="I77" s="109">
        <v>4311.3</v>
      </c>
      <c r="J77" s="3">
        <f t="shared" si="20"/>
        <v>274426.00000000023</v>
      </c>
      <c r="K77" s="98">
        <f>H77-F77</f>
        <v>0</v>
      </c>
      <c r="L77" s="98">
        <f>H77-E77</f>
        <v>-5494156.13</v>
      </c>
      <c r="M77" s="98">
        <f>I77-G77</f>
        <v>-11279.939999999999</v>
      </c>
      <c r="N77" s="46">
        <f t="shared" si="14"/>
        <v>1.3583713539022575</v>
      </c>
      <c r="O77" s="46">
        <f t="shared" si="15"/>
        <v>1</v>
      </c>
      <c r="P77" s="46">
        <f t="shared" si="16"/>
        <v>0.15918740223420977</v>
      </c>
    </row>
    <row r="78" spans="1:16" ht="15.75">
      <c r="A78" s="160"/>
      <c r="B78" s="143"/>
      <c r="C78" s="20" t="s">
        <v>69</v>
      </c>
      <c r="D78" s="39">
        <v>4439983.06</v>
      </c>
      <c r="E78" s="97">
        <v>11845941.55</v>
      </c>
      <c r="F78" s="3">
        <v>4403235.010000001</v>
      </c>
      <c r="G78" s="39">
        <v>1220110.5799999998</v>
      </c>
      <c r="H78" s="109">
        <v>4403235.010000001</v>
      </c>
      <c r="I78" s="109">
        <v>1220110.5799999998</v>
      </c>
      <c r="J78" s="3">
        <f t="shared" si="20"/>
        <v>-36748.04999999888</v>
      </c>
      <c r="K78" s="98">
        <f>H78-F78</f>
        <v>0</v>
      </c>
      <c r="L78" s="98">
        <f t="shared" si="18"/>
        <v>-7442706.54</v>
      </c>
      <c r="M78" s="98">
        <f>I78-G78</f>
        <v>0</v>
      </c>
      <c r="N78" s="46">
        <f t="shared" si="14"/>
        <v>0.9917233805842496</v>
      </c>
      <c r="O78" s="46">
        <f t="shared" si="15"/>
        <v>1</v>
      </c>
      <c r="P78" s="46">
        <f t="shared" si="16"/>
        <v>0.37170831811169963</v>
      </c>
    </row>
    <row r="79" spans="1:16" ht="15.75">
      <c r="A79" s="160"/>
      <c r="B79" s="143"/>
      <c r="C79" s="9" t="s">
        <v>70</v>
      </c>
      <c r="D79" s="39">
        <v>975856.95</v>
      </c>
      <c r="E79" s="97">
        <f>5446783.48</f>
        <v>5446783.48</v>
      </c>
      <c r="F79" s="3">
        <v>1714485.63</v>
      </c>
      <c r="G79" s="3">
        <v>332343.63</v>
      </c>
      <c r="H79" s="102">
        <v>1714485.63</v>
      </c>
      <c r="I79" s="102">
        <v>32427</v>
      </c>
      <c r="J79" s="3">
        <f t="shared" si="20"/>
        <v>738628.6799999999</v>
      </c>
      <c r="K79" s="98">
        <f>H79-F79</f>
        <v>0</v>
      </c>
      <c r="L79" s="98">
        <f t="shared" si="18"/>
        <v>-3732297.8500000006</v>
      </c>
      <c r="M79" s="98">
        <f t="shared" si="19"/>
        <v>-299916.63</v>
      </c>
      <c r="N79" s="46">
        <f t="shared" si="14"/>
        <v>1.756902617745357</v>
      </c>
      <c r="O79" s="46">
        <f t="shared" si="15"/>
        <v>1</v>
      </c>
      <c r="P79" s="46">
        <f t="shared" si="16"/>
        <v>0.31477029264985573</v>
      </c>
    </row>
    <row r="80" spans="1:16" ht="31.5">
      <c r="A80" s="161"/>
      <c r="B80" s="163"/>
      <c r="C80" s="9" t="s">
        <v>87</v>
      </c>
      <c r="D80" s="39">
        <v>4.06</v>
      </c>
      <c r="E80" s="98"/>
      <c r="F80" s="3">
        <f>G80</f>
        <v>0</v>
      </c>
      <c r="G80" s="3"/>
      <c r="H80" s="102">
        <v>387.89</v>
      </c>
      <c r="I80" s="102">
        <v>0</v>
      </c>
      <c r="J80" s="3">
        <f t="shared" si="20"/>
        <v>383.83</v>
      </c>
      <c r="K80" s="3">
        <f>H80-F80</f>
        <v>387.89</v>
      </c>
      <c r="L80" s="3">
        <f t="shared" si="18"/>
        <v>387.89</v>
      </c>
      <c r="M80" s="3">
        <f t="shared" si="19"/>
        <v>0</v>
      </c>
      <c r="N80" s="47">
        <f>_xlfn.IFERROR(H80/D80,"")</f>
        <v>95.53940886699507</v>
      </c>
      <c r="O80" s="47">
        <f t="shared" si="15"/>
      </c>
      <c r="P80" s="47">
        <f t="shared" si="16"/>
      </c>
    </row>
    <row r="81" spans="1:16" ht="29.25" customHeight="1">
      <c r="A81" s="160"/>
      <c r="B81" s="143"/>
      <c r="C81" s="33" t="s">
        <v>71</v>
      </c>
      <c r="D81" s="39">
        <v>33813.61</v>
      </c>
      <c r="E81" s="98"/>
      <c r="F81" s="3"/>
      <c r="G81" s="3"/>
      <c r="H81" s="102">
        <v>0</v>
      </c>
      <c r="I81" s="102">
        <v>0</v>
      </c>
      <c r="J81" s="3">
        <f t="shared" si="20"/>
        <v>-33813.61</v>
      </c>
      <c r="K81" s="3">
        <f>H81-F81</f>
        <v>0</v>
      </c>
      <c r="L81" s="3">
        <f>H81-E81</f>
        <v>0</v>
      </c>
      <c r="M81" s="3">
        <f t="shared" si="19"/>
        <v>0</v>
      </c>
      <c r="N81" s="46">
        <f t="shared" si="14"/>
        <v>0</v>
      </c>
      <c r="O81" s="46">
        <f t="shared" si="15"/>
      </c>
      <c r="P81" s="46">
        <f t="shared" si="16"/>
      </c>
    </row>
    <row r="82" spans="1:16" s="43" customFormat="1" ht="94.5" hidden="1">
      <c r="A82" s="162"/>
      <c r="B82" s="164"/>
      <c r="C82" s="90" t="s">
        <v>90</v>
      </c>
      <c r="D82" s="39"/>
      <c r="E82" s="85"/>
      <c r="F82" s="85"/>
      <c r="G82" s="85"/>
      <c r="H82" s="39">
        <v>0</v>
      </c>
      <c r="I82" s="39">
        <v>0</v>
      </c>
      <c r="J82" s="3">
        <f t="shared" si="20"/>
        <v>0</v>
      </c>
      <c r="K82" s="3">
        <f>H82-F82</f>
        <v>0</v>
      </c>
      <c r="L82" s="3">
        <f>H82-E82</f>
        <v>0</v>
      </c>
      <c r="M82" s="3">
        <f t="shared" si="19"/>
        <v>0</v>
      </c>
      <c r="N82" s="47">
        <f t="shared" si="14"/>
      </c>
      <c r="O82" s="47">
        <f t="shared" si="15"/>
      </c>
      <c r="P82" s="47">
        <f t="shared" si="16"/>
      </c>
    </row>
    <row r="83" spans="1:16" ht="31.5">
      <c r="A83" s="160"/>
      <c r="B83" s="143"/>
      <c r="C83" s="7" t="s">
        <v>72</v>
      </c>
      <c r="D83" s="39">
        <v>322904.97000000003</v>
      </c>
      <c r="E83" s="99">
        <v>8006.87</v>
      </c>
      <c r="F83" s="5">
        <v>8006.87</v>
      </c>
      <c r="G83" s="5">
        <v>0</v>
      </c>
      <c r="H83" s="102">
        <v>159777.43000000002</v>
      </c>
      <c r="I83" s="102">
        <v>0</v>
      </c>
      <c r="J83" s="3">
        <f t="shared" si="13"/>
        <v>-163127.54</v>
      </c>
      <c r="K83" s="3">
        <f t="shared" si="17"/>
        <v>151770.56000000003</v>
      </c>
      <c r="L83" s="3">
        <f t="shared" si="18"/>
        <v>151770.56000000003</v>
      </c>
      <c r="M83" s="3">
        <f t="shared" si="19"/>
        <v>0</v>
      </c>
      <c r="N83" s="46">
        <f t="shared" si="14"/>
        <v>0.49481254500356564</v>
      </c>
      <c r="O83" s="46">
        <f t="shared" si="15"/>
        <v>19.955042357375607</v>
      </c>
      <c r="P83" s="46">
        <f t="shared" si="16"/>
        <v>19.955042357375607</v>
      </c>
    </row>
    <row r="84" spans="1:16" ht="15.75">
      <c r="A84" s="160"/>
      <c r="B84" s="143"/>
      <c r="C84" s="7" t="s">
        <v>73</v>
      </c>
      <c r="D84" s="39">
        <v>-336829.48999999993</v>
      </c>
      <c r="E84" s="98"/>
      <c r="F84" s="3"/>
      <c r="G84" s="3"/>
      <c r="H84" s="102">
        <v>-273455.92</v>
      </c>
      <c r="I84" s="102">
        <v>-4.87</v>
      </c>
      <c r="J84" s="3">
        <f t="shared" si="13"/>
        <v>63373.56999999995</v>
      </c>
      <c r="K84" s="3">
        <f t="shared" si="17"/>
        <v>-273455.92</v>
      </c>
      <c r="L84" s="3">
        <f t="shared" si="18"/>
        <v>-273455.92</v>
      </c>
      <c r="M84" s="3">
        <f t="shared" si="19"/>
        <v>-4.87</v>
      </c>
      <c r="N84" s="46">
        <f t="shared" si="14"/>
        <v>0.8118526676509235</v>
      </c>
      <c r="O84" s="46">
        <f t="shared" si="15"/>
      </c>
      <c r="P84" s="46">
        <f t="shared" si="16"/>
      </c>
    </row>
    <row r="85" spans="1:16" ht="29.25" customHeight="1">
      <c r="A85" s="153" t="s">
        <v>74</v>
      </c>
      <c r="B85" s="153"/>
      <c r="C85" s="153"/>
      <c r="D85" s="91">
        <f>D73+D75</f>
        <v>13666160.709999999</v>
      </c>
      <c r="E85" s="100">
        <f>E73+E75</f>
        <v>50446616.71000001</v>
      </c>
      <c r="F85" s="72">
        <f>F73+F75</f>
        <v>16571623.57</v>
      </c>
      <c r="G85" s="72">
        <f>G73+G75</f>
        <v>5223982.75</v>
      </c>
      <c r="H85" s="72">
        <f>H73+H75</f>
        <v>14490704.3</v>
      </c>
      <c r="I85" s="72">
        <f>I73+I75</f>
        <v>1408623.8399999999</v>
      </c>
      <c r="J85" s="72">
        <f>J73+J75</f>
        <v>824543.5900000017</v>
      </c>
      <c r="K85" s="49">
        <f t="shared" si="17"/>
        <v>-2080919.2699999996</v>
      </c>
      <c r="L85" s="49">
        <f t="shared" si="18"/>
        <v>-35955912.41000001</v>
      </c>
      <c r="M85" s="49">
        <f t="shared" si="19"/>
        <v>-3815358.91</v>
      </c>
      <c r="N85" s="71">
        <f t="shared" si="14"/>
        <v>1.0603346914687353</v>
      </c>
      <c r="O85" s="71">
        <f t="shared" si="15"/>
        <v>0.8744287630472649</v>
      </c>
      <c r="P85" s="71">
        <f t="shared" si="16"/>
        <v>0.2872482882906103</v>
      </c>
    </row>
    <row r="86" spans="1:16" ht="15.75" hidden="1">
      <c r="A86" s="154" t="s">
        <v>81</v>
      </c>
      <c r="B86" s="154"/>
      <c r="C86" s="154"/>
      <c r="D86" s="49">
        <v>6683833.650000001</v>
      </c>
      <c r="E86" s="49">
        <f>E85-E53-E52-E51</f>
        <v>45900715.50000001</v>
      </c>
      <c r="F86" s="49">
        <f>G86</f>
        <v>4864787.449999999</v>
      </c>
      <c r="G86" s="49">
        <f>G85-G53-G52-G51</f>
        <v>4864787.449999999</v>
      </c>
      <c r="H86" s="49">
        <v>7008743.46</v>
      </c>
      <c r="I86" s="49">
        <v>4118598.0600000015</v>
      </c>
      <c r="J86" s="49">
        <f t="shared" si="13"/>
        <v>324909.80999999866</v>
      </c>
      <c r="K86" s="49">
        <f t="shared" si="17"/>
        <v>2143956.0100000007</v>
      </c>
      <c r="L86" s="49">
        <f t="shared" si="18"/>
        <v>-38891972.04000001</v>
      </c>
      <c r="M86" s="49">
        <f>H86-G86</f>
        <v>2143956.0100000007</v>
      </c>
      <c r="N86" s="84">
        <f>H86/D86</f>
        <v>1.048611295106065</v>
      </c>
      <c r="O86" s="84">
        <f t="shared" si="15"/>
        <v>1.440709081750324</v>
      </c>
      <c r="P86" s="47">
        <f t="shared" si="16"/>
        <v>0.15269355572463786</v>
      </c>
    </row>
    <row r="87" spans="1:16" ht="15.75">
      <c r="A87" s="21" t="s">
        <v>75</v>
      </c>
      <c r="B87" s="22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6"/>
      <c r="P87" s="25"/>
    </row>
    <row r="88" ht="12.75">
      <c r="D88" s="73"/>
    </row>
  </sheetData>
  <sheetProtection/>
  <autoFilter ref="A4:P88"/>
  <mergeCells count="39">
    <mergeCell ref="B62:B63"/>
    <mergeCell ref="A62:A63"/>
    <mergeCell ref="A85:C85"/>
    <mergeCell ref="A86:C86"/>
    <mergeCell ref="A64:A72"/>
    <mergeCell ref="B64:B72"/>
    <mergeCell ref="A73:C73"/>
    <mergeCell ref="A74:C74"/>
    <mergeCell ref="A75:A84"/>
    <mergeCell ref="B75:B84"/>
    <mergeCell ref="A1:P1"/>
    <mergeCell ref="A3:A4"/>
    <mergeCell ref="B3:B4"/>
    <mergeCell ref="C3:C4"/>
    <mergeCell ref="D3:D4"/>
    <mergeCell ref="E3:G3"/>
    <mergeCell ref="O3:O4"/>
    <mergeCell ref="P3:P4"/>
    <mergeCell ref="A60:A61"/>
    <mergeCell ref="B60:B61"/>
    <mergeCell ref="A30:A37"/>
    <mergeCell ref="B30:B37"/>
    <mergeCell ref="A38:A47"/>
    <mergeCell ref="B38:B47"/>
    <mergeCell ref="A48:A49"/>
    <mergeCell ref="B48:B49"/>
    <mergeCell ref="A50:A55"/>
    <mergeCell ref="B50:B55"/>
    <mergeCell ref="A56:A59"/>
    <mergeCell ref="B56:B59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.15748031496062992" right="0.15748031496062992" top="0.5118110236220472" bottom="0.1968503937007874" header="0.31496062992125984" footer="0.31496062992125984"/>
  <pageSetup fitToHeight="0" fitToWidth="1" horizontalDpi="600" verticalDpi="600" orientation="landscape" paperSize="9" scale="52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2023-05-10T11:08:22Z</cp:lastPrinted>
  <dcterms:created xsi:type="dcterms:W3CDTF">2015-02-26T11:08:47Z</dcterms:created>
  <dcterms:modified xsi:type="dcterms:W3CDTF">2023-05-10T11:12:57Z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