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30" activeTab="0"/>
  </bookViews>
  <sheets>
    <sheet name="15.05.2023" sheetId="1" r:id="rId1"/>
  </sheets>
  <definedNames>
    <definedName name="_xlfn.IFERROR" hidden="1">#NAME?</definedName>
    <definedName name="_xlnm._FilterDatabase" localSheetId="0" hidden="1">'15.05.2023'!$A$4:$Y$88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'15.05.2023'!$3:$4</definedName>
    <definedName name="о">#REF!</definedName>
    <definedName name="_xlnm.Print_Area" localSheetId="0">'15.05.2023'!$A$1:$Q$87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<sst xmlns="http://schemas.openxmlformats.org/spreadsheetml/2006/main" count="217" uniqueCount="177">
  <si>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</si>
  <si>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</si>
  <si>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</si>
  <si>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</si>
  <si>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</si>
  <si>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</si>
  <si>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АЦК</t>
  </si>
  <si>
    <t>факта отч.пер. от плана отч.пер.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</si>
  <si>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</si>
  <si>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</si>
  <si>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</si>
  <si>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</si>
  <si>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</si>
  <si>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</si>
  <si>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</si>
  <si>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</si>
  <si>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</si>
  <si>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</si>
  <si>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</si>
  <si>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</si>
  <si>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</si>
  <si>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</si>
  <si>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</si>
  <si>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</si>
  <si>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</si>
  <si>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</si>
  <si>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</si>
  <si>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</si>
  <si>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</si>
  <si>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</si>
  <si>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</si>
  <si>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</si>
  <si>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</si>
  <si>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</si>
  <si>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</si>
  <si>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</si>
  <si>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</si>
  <si>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</si>
  <si>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</si>
  <si>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</si>
  <si>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</si>
  <si>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</si>
  <si>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</si>
  <si>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</si>
  <si>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</si>
  <si>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</si>
  <si>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</si>
  <si>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</si>
  <si>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</si>
  <si>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</si>
  <si>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</si>
  <si>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</si>
  <si>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</si>
  <si>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</si>
  <si>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</si>
  <si>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</si>
  <si>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</si>
  <si>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</si>
  <si>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</si>
  <si>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</si>
  <si>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</si>
  <si>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</si>
  <si>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</si>
  <si>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</si>
  <si>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</si>
  <si>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</si>
  <si>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</si>
  <si>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1 14 06024 04 0000 430</t>
  </si>
  <si>
    <t>Доходы от продажи земельных участков, находящихся в собственности городских округов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</si>
  <si>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</si>
  <si>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</si>
  <si>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</si>
  <si>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</si>
  <si>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</si>
  <si>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</si>
  <si>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</si>
  <si>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</si>
  <si>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</si>
  <si>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</si>
  <si>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</si>
  <si>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</si>
  <si>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</si>
  <si>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Плата за право заключения договоров о РЗТ</t>
  </si>
  <si>
    <t>915, 048</t>
  </si>
  <si>
    <t>Уэкол.</t>
  </si>
  <si>
    <t>1 12 00000 00 0000 120</t>
  </si>
  <si>
    <t>Платежи при пользовании природными ресурсами</t>
  </si>
  <si>
    <t>903</t>
  </si>
  <si>
    <t>ДГА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</si>
  <si>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</si>
  <si>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</si>
  <si>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</si>
  <si>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</si>
  <si>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</si>
  <si>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</si>
  <si>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</si>
  <si>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</si>
  <si>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</si>
  <si>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</si>
  <si>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</si>
  <si>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</si>
  <si>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</si>
  <si>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</si>
  <si>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</si>
  <si>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</si>
  <si>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</si>
  <si>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</si>
  <si>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</si>
  <si>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</si>
  <si>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</si>
  <si>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</si>
  <si>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</si>
  <si>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</si>
  <si>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</si>
  <si>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</si>
  <si>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</si>
  <si>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</si>
  <si>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</si>
  <si>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</si>
  <si>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</si>
  <si>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</si>
  <si>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</si>
  <si>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</si>
  <si>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</si>
  <si>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 xml:space="preserve"> </t>
  </si>
  <si>
    <t>1 17 05040 04 2000 180</t>
  </si>
  <si>
    <t>1 17 05040 04 1000 180</t>
  </si>
  <si>
    <t>1 14 02 04 3 04 3 000 410</t>
  </si>
  <si>
    <t>1 14 02 04 3 04 1 000 410</t>
  </si>
  <si>
    <t>1 14 02 04 3 04 2 000 410</t>
  </si>
  <si>
    <t>Плата за публичный сервитут</t>
  </si>
  <si>
    <t>1 11 05410 04 1000 120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</si>
  <si>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</si>
  <si>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</si>
  <si>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</si>
  <si>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</si>
  <si>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</si>
  <si>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</si>
  <si>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1 11 05024 04 1020 120</t>
  </si>
  <si>
    <t>1 11 05012 04 1020 120</t>
  </si>
  <si>
    <t>1 13 02994 04 0030 130</t>
  </si>
  <si>
    <t>реестр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</si>
  <si>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</si>
  <si>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</si>
  <si>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</si>
  <si>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</si>
  <si>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>2 08 04 00 0 04 0 000 150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</si>
  <si>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</si>
  <si>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</si>
  <si>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</si>
  <si>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</si>
  <si>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</si>
  <si>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</si>
  <si>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</si>
  <si>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</si>
  <si>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</si>
  <si>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</si>
  <si>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</si>
  <si>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</si>
  <si>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</si>
  <si>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1 06 04000 00 0000 110</t>
  </si>
  <si>
    <t>скрыть</t>
  </si>
  <si>
    <t>Инициативные платежи</t>
  </si>
  <si>
    <t>1 17 15020 04 0000 180</t>
  </si>
  <si>
    <t>Исполн. плана отч. периода</t>
  </si>
  <si>
    <t>Исполн. плана года</t>
  </si>
  <si>
    <t>Факт 2023г./ факт 2022г.</t>
  </si>
  <si>
    <t>АЦК +  Реестр</t>
  </si>
  <si>
    <t>ФАКТ 2023 года (ацк+реестр)</t>
  </si>
  <si>
    <t>январь-май</t>
  </si>
  <si>
    <t>май</t>
  </si>
  <si>
    <t>факта за май от плана мая</t>
  </si>
  <si>
    <t>Факт с нач. 2022 года      (по 12.05.22 вкл.)</t>
  </si>
  <si>
    <t>с нач. года на 15.05.2023 (по 12.05.2023 вкл.)</t>
  </si>
  <si>
    <t>май (по 11.05. вкл.)</t>
  </si>
  <si>
    <t>с нач. года на 15.05.2023 (по 11.05.2023 вкл.)</t>
  </si>
  <si>
    <t>За 12.05.2023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</si>
</sst>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  <numFmt numFmtId="168" formatCode="0.000"/>
    <numFmt numFmtId="169" formatCode="dd/mm/yyyy\ hh:mm"/>
  </numFmts>
  <fonts count="66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6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45"/>
      <name val="Times New Roman"/>
      <family val="1"/>
    </font>
    <font>
      <i/>
      <sz val="9"/>
      <color indexed="45"/>
      <name val="Times New Roman"/>
      <family val="1"/>
    </font>
    <font>
      <sz val="9"/>
      <color indexed="45"/>
      <name val="Arial Cyr"/>
      <family val="0"/>
    </font>
    <font>
      <sz val="10"/>
      <color indexed="45"/>
      <name val="Arial Cyr"/>
      <family val="0"/>
    </font>
    <font>
      <b/>
      <sz val="8"/>
      <color indexed="45"/>
      <name val="Times New Roman"/>
      <family val="1"/>
    </font>
    <font>
      <b/>
      <i/>
      <sz val="8"/>
      <color indexed="45"/>
      <name val="Times New Roman"/>
      <family val="1"/>
    </font>
    <font>
      <b/>
      <sz val="8"/>
      <color indexed="45"/>
      <name val="Arial Cyr"/>
      <family val="0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color rgb="FFFF0000"/>
      <name val="Arial Cyr"/>
      <family val="0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top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5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wrapText="1"/>
    </xf>
    <xf numFmtId="164" fontId="8" fillId="0" borderId="11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2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/>
    </xf>
    <xf numFmtId="4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164" fontId="8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4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center" wrapText="1"/>
    </xf>
    <xf numFmtId="165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wrapText="1"/>
    </xf>
    <xf numFmtId="165" fontId="8" fillId="0" borderId="11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wrapText="1"/>
    </xf>
    <xf numFmtId="165" fontId="8" fillId="0" borderId="11" xfId="0" applyNumberFormat="1" applyFont="1" applyFill="1" applyBorder="1" applyAlignment="1">
      <alignment wrapText="1"/>
    </xf>
    <xf numFmtId="166" fontId="8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 vertical="center" wrapText="1"/>
    </xf>
    <xf numFmtId="166" fontId="8" fillId="0" borderId="11" xfId="0" applyNumberFormat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 wrapText="1"/>
    </xf>
    <xf numFmtId="166" fontId="8" fillId="0" borderId="10" xfId="0" applyNumberFormat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8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vertical="center" wrapText="1"/>
    </xf>
    <xf numFmtId="167" fontId="4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168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167" fontId="0" fillId="0" borderId="0" xfId="0" applyNumberFormat="1" applyFont="1" applyFill="1" applyAlignment="1">
      <alignment/>
    </xf>
    <xf numFmtId="165" fontId="4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right" vertical="center"/>
    </xf>
    <xf numFmtId="9" fontId="56" fillId="0" borderId="0" xfId="142" applyFont="1" applyFill="1" applyBorder="1" applyAlignment="1" applyProtection="1">
      <alignment horizontal="center" vertical="center" wrapText="1"/>
      <protection/>
    </xf>
    <xf numFmtId="4" fontId="56" fillId="0" borderId="0" xfId="142" applyNumberFormat="1" applyFont="1" applyFill="1" applyBorder="1" applyAlignment="1" applyProtection="1">
      <alignment vertical="center" wrapText="1"/>
      <protection/>
    </xf>
    <xf numFmtId="4" fontId="57" fillId="0" borderId="0" xfId="142" applyNumberFormat="1" applyFont="1" applyFill="1" applyBorder="1" applyAlignment="1" applyProtection="1">
      <alignment vertical="center" wrapText="1"/>
      <protection/>
    </xf>
    <xf numFmtId="4" fontId="56" fillId="0" borderId="0" xfId="142" applyNumberFormat="1" applyFont="1" applyFill="1" applyBorder="1" applyAlignment="1" applyProtection="1">
      <alignment wrapText="1"/>
      <protection/>
    </xf>
    <xf numFmtId="9" fontId="58" fillId="0" borderId="0" xfId="142" applyFont="1" applyFill="1" applyBorder="1" applyAlignment="1" applyProtection="1">
      <alignment vertical="center"/>
      <protection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4" fontId="6" fillId="33" borderId="13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/>
    </xf>
    <xf numFmtId="0" fontId="63" fillId="0" borderId="11" xfId="0" applyFont="1" applyFill="1" applyBorder="1" applyAlignment="1">
      <alignment horizontal="left" wrapText="1"/>
    </xf>
    <xf numFmtId="166" fontId="63" fillId="0" borderId="11" xfId="0" applyNumberFormat="1" applyFont="1" applyFill="1" applyBorder="1" applyAlignment="1">
      <alignment wrapText="1"/>
    </xf>
    <xf numFmtId="166" fontId="63" fillId="0" borderId="11" xfId="0" applyNumberFormat="1" applyFont="1" applyFill="1" applyBorder="1" applyAlignment="1">
      <alignment wrapText="1"/>
    </xf>
    <xf numFmtId="166" fontId="6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vertical="center" wrapText="1"/>
    </xf>
    <xf numFmtId="4" fontId="56" fillId="34" borderId="0" xfId="142" applyNumberFormat="1" applyFont="1" applyFill="1" applyBorder="1" applyAlignment="1" applyProtection="1">
      <alignment vertical="center" wrapText="1"/>
      <protection/>
    </xf>
    <xf numFmtId="4" fontId="4" fillId="34" borderId="11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4" fontId="3" fillId="35" borderId="11" xfId="0" applyNumberFormat="1" applyFont="1" applyFill="1" applyBorder="1" applyAlignment="1">
      <alignment wrapText="1"/>
    </xf>
    <xf numFmtId="164" fontId="3" fillId="35" borderId="11" xfId="0" applyNumberFormat="1" applyFont="1" applyFill="1" applyBorder="1" applyAlignment="1">
      <alignment wrapText="1"/>
    </xf>
    <xf numFmtId="164" fontId="3" fillId="35" borderId="11" xfId="0" applyNumberFormat="1" applyFont="1" applyFill="1" applyBorder="1" applyAlignment="1">
      <alignment horizontal="right" wrapText="1"/>
    </xf>
    <xf numFmtId="164" fontId="4" fillId="35" borderId="11" xfId="0" applyNumberFormat="1" applyFont="1" applyFill="1" applyBorder="1" applyAlignment="1">
      <alignment wrapText="1"/>
    </xf>
    <xf numFmtId="164" fontId="3" fillId="35" borderId="11" xfId="0" applyNumberFormat="1" applyFont="1" applyFill="1" applyBorder="1" applyAlignment="1">
      <alignment wrapText="1"/>
    </xf>
    <xf numFmtId="164" fontId="3" fillId="35" borderId="11" xfId="0" applyNumberFormat="1" applyFont="1" applyFill="1" applyBorder="1" applyAlignment="1">
      <alignment wrapText="1"/>
    </xf>
    <xf numFmtId="164" fontId="3" fillId="35" borderId="11" xfId="0" applyNumberFormat="1" applyFont="1" applyFill="1" applyBorder="1" applyAlignment="1">
      <alignment horizontal="right" wrapText="1"/>
    </xf>
    <xf numFmtId="164" fontId="3" fillId="35" borderId="11" xfId="0" applyNumberFormat="1" applyFont="1" applyFill="1" applyBorder="1" applyAlignment="1">
      <alignment horizontal="right" wrapText="1"/>
    </xf>
    <xf numFmtId="4" fontId="3" fillId="35" borderId="11" xfId="0" applyNumberFormat="1" applyFont="1" applyFill="1" applyBorder="1" applyAlignment="1">
      <alignment horizontal="right" wrapText="1"/>
    </xf>
    <xf numFmtId="164" fontId="3" fillId="35" borderId="11" xfId="0" applyNumberFormat="1" applyFont="1" applyFill="1" applyBorder="1" applyAlignment="1">
      <alignment horizontal="right" wrapText="1"/>
    </xf>
    <xf numFmtId="164" fontId="4" fillId="35" borderId="11" xfId="0" applyNumberFormat="1" applyFont="1" applyFill="1" applyBorder="1" applyAlignment="1">
      <alignment wrapText="1"/>
    </xf>
    <xf numFmtId="164" fontId="4" fillId="35" borderId="11" xfId="0" applyNumberFormat="1" applyFont="1" applyFill="1" applyBorder="1" applyAlignment="1">
      <alignment vertical="center" wrapText="1"/>
    </xf>
    <xf numFmtId="164" fontId="3" fillId="35" borderId="11" xfId="0" applyNumberFormat="1" applyFont="1" applyFill="1" applyBorder="1" applyAlignment="1">
      <alignment wrapText="1"/>
    </xf>
    <xf numFmtId="164" fontId="8" fillId="35" borderId="11" xfId="0" applyNumberFormat="1" applyFont="1" applyFill="1" applyBorder="1" applyAlignment="1">
      <alignment horizontal="right" wrapText="1"/>
    </xf>
    <xf numFmtId="4" fontId="4" fillId="35" borderId="11" xfId="0" applyNumberFormat="1" applyFont="1" applyFill="1" applyBorder="1" applyAlignment="1">
      <alignment vertical="center" wrapText="1"/>
    </xf>
    <xf numFmtId="164" fontId="4" fillId="35" borderId="11" xfId="0" applyNumberFormat="1" applyFont="1" applyFill="1" applyBorder="1" applyAlignment="1">
      <alignment vertical="center" wrapText="1"/>
    </xf>
    <xf numFmtId="49" fontId="60" fillId="35" borderId="1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4" fontId="8" fillId="35" borderId="11" xfId="0" applyNumberFormat="1" applyFont="1" applyFill="1" applyBorder="1" applyAlignment="1">
      <alignment wrapText="1"/>
    </xf>
    <xf numFmtId="4" fontId="3" fillId="35" borderId="11" xfId="0" applyNumberFormat="1" applyFont="1" applyFill="1" applyBorder="1" applyAlignment="1">
      <alignment horizontal="right" vertical="center" wrapText="1"/>
    </xf>
    <xf numFmtId="164" fontId="8" fillId="35" borderId="11" xfId="0" applyNumberFormat="1" applyFont="1" applyFill="1" applyBorder="1" applyAlignment="1">
      <alignment wrapText="1"/>
    </xf>
    <xf numFmtId="164" fontId="8" fillId="35" borderId="11" xfId="0" applyNumberFormat="1" applyFont="1" applyFill="1" applyBorder="1" applyAlignment="1">
      <alignment wrapText="1"/>
    </xf>
    <xf numFmtId="164" fontId="3" fillId="35" borderId="11" xfId="0" applyNumberFormat="1" applyFont="1" applyFill="1" applyBorder="1" applyAlignment="1">
      <alignment wrapText="1"/>
    </xf>
    <xf numFmtId="164" fontId="8" fillId="35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4" fontId="3" fillId="35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60" fillId="0" borderId="10" xfId="0" applyNumberFormat="1" applyFont="1" applyFill="1" applyBorder="1" applyAlignment="1">
      <alignment horizontal="center" vertical="center" wrapText="1"/>
    </xf>
    <xf numFmtId="49" fontId="60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9" fontId="4" fillId="0" borderId="11" xfId="142" applyFont="1" applyFill="1" applyBorder="1" applyAlignment="1" applyProtection="1">
      <alignment horizontal="center" vertical="top" wrapText="1"/>
      <protection/>
    </xf>
    <xf numFmtId="4" fontId="6" fillId="33" borderId="16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wrapText="1"/>
    </xf>
    <xf numFmtId="166" fontId="11" fillId="0" borderId="11" xfId="0" applyNumberFormat="1" applyFont="1" applyFill="1" applyBorder="1" applyAlignment="1">
      <alignment horizontal="left" wrapText="1"/>
    </xf>
    <xf numFmtId="166" fontId="65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11" fillId="0" borderId="11" xfId="0" applyNumberFormat="1" applyFont="1" applyFill="1" applyBorder="1" applyAlignment="1">
      <alignment horizontal="left" vertical="center" wrapText="1"/>
    </xf>
    <xf numFmtId="166" fontId="65" fillId="0" borderId="16" xfId="0" applyNumberFormat="1" applyFont="1" applyFill="1" applyBorder="1" applyAlignment="1">
      <alignment horizontal="left" vertical="center" wrapText="1"/>
    </xf>
    <xf numFmtId="166" fontId="65" fillId="0" borderId="17" xfId="0" applyNumberFormat="1" applyFont="1" applyFill="1" applyBorder="1" applyAlignment="1">
      <alignment horizontal="left" vertical="center" wrapText="1"/>
    </xf>
    <xf numFmtId="166" fontId="65" fillId="0" borderId="13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8" xfId="136"/>
    <cellStyle name="Обычный 9" xfId="137"/>
    <cellStyle name="Плохой" xfId="138"/>
    <cellStyle name="Пояснение" xfId="139"/>
    <cellStyle name="Примечание" xfId="140"/>
    <cellStyle name="Percent" xfId="141"/>
    <cellStyle name="Процентный 2" xfId="142"/>
    <cellStyle name="Процентный 2 2" xfId="143"/>
    <cellStyle name="Связанная ячейка" xfId="144"/>
    <cellStyle name="Текст предупреждения" xfId="145"/>
    <cellStyle name="Comma" xfId="146"/>
    <cellStyle name="Comma [0]" xfId="147"/>
    <cellStyle name="Финансовый 2" xfId="148"/>
    <cellStyle name="Финансовый 3" xfId="149"/>
    <cellStyle name="Хороший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tabSelected="1" zoomScale="89" zoomScaleNormal="89" zoomScalePageLayoutView="0" workbookViewId="0" topLeftCell="A1">
      <pane xSplit="4" ySplit="4" topLeftCell="E4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75" sqref="F75"/>
    </sheetView>
  </sheetViews>
  <sheetFormatPr defaultColWidth="9.00390625" defaultRowHeight="12.75"/>
  <cols>
    <col min="1" max="2" width="9.125" style="88" customWidth="1"/>
    <col min="3" max="3" width="19.375" style="147" hidden="1" customWidth="1"/>
    <col min="4" max="4" width="67.625" style="88" customWidth="1"/>
    <col min="5" max="5" width="14.625" style="34" customWidth="1"/>
    <col min="6" max="6" width="15.625" style="88" customWidth="1"/>
    <col min="7" max="8" width="13.00390625" style="88" customWidth="1"/>
    <col min="9" max="9" width="16.25390625" style="88" customWidth="1"/>
    <col min="10" max="10" width="13.875" style="88" customWidth="1"/>
    <col min="11" max="11" width="15.125" style="88" customWidth="1"/>
    <col min="12" max="12" width="14.375" style="88" customWidth="1"/>
    <col min="13" max="13" width="15.625" style="88" customWidth="1"/>
    <col min="14" max="14" width="13.75390625" style="88" customWidth="1"/>
    <col min="15" max="15" width="10.875" style="88" customWidth="1"/>
    <col min="16" max="16" width="10.125" style="88" customWidth="1"/>
    <col min="17" max="17" width="9.25390625" style="88" customWidth="1"/>
    <col min="18" max="18" width="13.00390625" style="128" hidden="1" customWidth="1"/>
    <col min="19" max="19" width="12.625" style="128" hidden="1" customWidth="1"/>
    <col min="20" max="20" width="16.75390625" style="88" hidden="1" customWidth="1"/>
    <col min="21" max="21" width="15.125" style="88" hidden="1" customWidth="1"/>
    <col min="22" max="22" width="14.875" style="88" hidden="1" customWidth="1"/>
    <col min="23" max="23" width="18.375" style="88" hidden="1" customWidth="1"/>
    <col min="24" max="24" width="14.25390625" style="88" hidden="1" customWidth="1"/>
    <col min="25" max="25" width="9.125" style="54" hidden="1" customWidth="1"/>
    <col min="26" max="26" width="9.125" style="88" customWidth="1"/>
    <col min="27" max="27" width="16.625" style="88" customWidth="1"/>
    <col min="28" max="28" width="9.125" style="88" customWidth="1"/>
    <col min="29" max="29" width="15.75390625" style="88" customWidth="1"/>
    <col min="30" max="16384" width="9.125" style="88" customWidth="1"/>
  </cols>
  <sheetData>
    <row r="1" spans="1:25" ht="20.25">
      <c r="A1" s="213" t="s">
        <v>149</v>
      </c>
      <c r="B1" s="213"/>
      <c r="C1" s="214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20" t="s">
        <v>124</v>
      </c>
      <c r="S1" s="120"/>
      <c r="T1" s="1"/>
      <c r="U1" s="1"/>
      <c r="V1" s="1"/>
      <c r="W1" s="1"/>
      <c r="X1" s="1"/>
      <c r="Y1" s="2"/>
    </row>
    <row r="2" spans="1:25" ht="20.25">
      <c r="A2" s="41"/>
      <c r="B2" s="42"/>
      <c r="C2" s="133"/>
      <c r="D2" s="39"/>
      <c r="E2" s="38"/>
      <c r="F2" s="39"/>
      <c r="G2" s="39"/>
      <c r="H2" s="44"/>
      <c r="I2" s="44"/>
      <c r="J2" s="44"/>
      <c r="K2" s="39"/>
      <c r="L2" s="39"/>
      <c r="M2" s="39"/>
      <c r="N2" s="39"/>
      <c r="O2" s="39"/>
      <c r="P2" s="37"/>
      <c r="Q2" s="37" t="s">
        <v>0</v>
      </c>
      <c r="R2" s="121"/>
      <c r="S2" s="121"/>
      <c r="T2" s="215" t="s">
        <v>168</v>
      </c>
      <c r="U2" s="216"/>
      <c r="V2" s="216"/>
      <c r="W2" s="216"/>
      <c r="X2" s="217"/>
      <c r="Y2" s="2"/>
    </row>
    <row r="3" spans="1:25" ht="20.25" customHeight="1">
      <c r="A3" s="218" t="s">
        <v>1</v>
      </c>
      <c r="B3" s="219" t="s">
        <v>2</v>
      </c>
      <c r="C3" s="220" t="s">
        <v>3</v>
      </c>
      <c r="D3" s="222" t="s">
        <v>4</v>
      </c>
      <c r="E3" s="224" t="s">
        <v>172</v>
      </c>
      <c r="F3" s="190" t="s">
        <v>148</v>
      </c>
      <c r="G3" s="192"/>
      <c r="H3" s="191"/>
      <c r="I3" s="190" t="s">
        <v>150</v>
      </c>
      <c r="J3" s="191"/>
      <c r="K3" s="190" t="s">
        <v>5</v>
      </c>
      <c r="L3" s="192"/>
      <c r="M3" s="192"/>
      <c r="N3" s="191"/>
      <c r="O3" s="193" t="s">
        <v>166</v>
      </c>
      <c r="P3" s="226" t="s">
        <v>164</v>
      </c>
      <c r="Q3" s="193" t="s">
        <v>165</v>
      </c>
      <c r="R3" s="122"/>
      <c r="S3" s="122"/>
      <c r="T3" s="227" t="s">
        <v>6</v>
      </c>
      <c r="U3" s="228"/>
      <c r="V3" s="129" t="s">
        <v>141</v>
      </c>
      <c r="W3" s="229" t="s">
        <v>167</v>
      </c>
      <c r="X3" s="230"/>
      <c r="Y3" s="2"/>
    </row>
    <row r="4" spans="1:25" ht="63">
      <c r="A4" s="218"/>
      <c r="B4" s="219"/>
      <c r="C4" s="221"/>
      <c r="D4" s="223"/>
      <c r="E4" s="225"/>
      <c r="F4" s="3" t="s">
        <v>143</v>
      </c>
      <c r="G4" s="3" t="s">
        <v>169</v>
      </c>
      <c r="H4" s="3" t="s">
        <v>170</v>
      </c>
      <c r="I4" s="66" t="s">
        <v>173</v>
      </c>
      <c r="J4" s="3" t="s">
        <v>170</v>
      </c>
      <c r="K4" s="3" t="s">
        <v>151</v>
      </c>
      <c r="L4" s="3" t="s">
        <v>7</v>
      </c>
      <c r="M4" s="3" t="s">
        <v>152</v>
      </c>
      <c r="N4" s="3" t="s">
        <v>171</v>
      </c>
      <c r="O4" s="193"/>
      <c r="P4" s="226"/>
      <c r="Q4" s="193"/>
      <c r="R4" s="122"/>
      <c r="S4" s="122"/>
      <c r="T4" s="131" t="s">
        <v>175</v>
      </c>
      <c r="U4" s="131" t="s">
        <v>174</v>
      </c>
      <c r="V4" s="132" t="s">
        <v>176</v>
      </c>
      <c r="W4" s="130" t="s">
        <v>173</v>
      </c>
      <c r="X4" s="131" t="s">
        <v>170</v>
      </c>
      <c r="Y4" s="34" t="s">
        <v>161</v>
      </c>
    </row>
    <row r="5" spans="1:27" ht="29.25" customHeight="1">
      <c r="A5" s="157"/>
      <c r="B5" s="158"/>
      <c r="C5" s="177"/>
      <c r="D5" s="159" t="s">
        <v>8</v>
      </c>
      <c r="E5" s="175">
        <f>E17+E19+E21+E18+E20</f>
        <v>5212965.779999999</v>
      </c>
      <c r="F5" s="172">
        <f>F17+F19+F21+F18+F20</f>
        <v>20002935.000000004</v>
      </c>
      <c r="G5" s="172">
        <f>G17+G19+G21+G18+G20</f>
        <v>6602253.000000001</v>
      </c>
      <c r="H5" s="172">
        <f>H17+H19+H21+H18+H20</f>
        <v>3159947.1</v>
      </c>
      <c r="I5" s="172">
        <f>I17+I19+I21+I18+I20</f>
        <v>4731333.400000001</v>
      </c>
      <c r="J5" s="172">
        <f>J17+J19+J21+J18+J20</f>
        <v>40156.299999999996</v>
      </c>
      <c r="K5" s="160">
        <f>I5-E5</f>
        <v>-481632.379999998</v>
      </c>
      <c r="L5" s="160">
        <f>I5-G5</f>
        <v>-1870919.5999999996</v>
      </c>
      <c r="M5" s="160">
        <f>I5-F5</f>
        <v>-15271601.600000001</v>
      </c>
      <c r="N5" s="160">
        <f>J5-H5</f>
        <v>-3119790.8000000003</v>
      </c>
      <c r="O5" s="68">
        <f aca="true" t="shared" si="0" ref="O5:O36">_xlfn.IFERROR(I5/E5,"")</f>
        <v>0.9076087585597007</v>
      </c>
      <c r="P5" s="68">
        <f aca="true" t="shared" si="1" ref="P5:P36">_xlfn.IFERROR(I5/G5,"")</f>
        <v>0.716624067572085</v>
      </c>
      <c r="Q5" s="68">
        <f aca="true" t="shared" si="2" ref="Q5:Q36">_xlfn.IFERROR(I5/F5,"")</f>
        <v>0.2365319589350263</v>
      </c>
      <c r="R5" s="154">
        <f>W5-I5</f>
        <v>0</v>
      </c>
      <c r="S5" s="154">
        <f aca="true" t="shared" si="3" ref="S5:S36">X5-J5</f>
        <v>0</v>
      </c>
      <c r="T5" s="155">
        <f>T17+T19+T21+T18+T20</f>
        <v>4730002.6400000015</v>
      </c>
      <c r="U5" s="155">
        <f>U17+U19+U21+U18+U20</f>
        <v>38825.53999999999</v>
      </c>
      <c r="V5" s="155">
        <f>V17+V19+V21+V18+V20</f>
        <v>1330.76</v>
      </c>
      <c r="W5" s="155">
        <f>W17+W19+W21+W18+W20</f>
        <v>4731333.400000001</v>
      </c>
      <c r="X5" s="155">
        <f>X17+X19+X21+X18+X20</f>
        <v>40156.299999999996</v>
      </c>
      <c r="Y5" s="156"/>
      <c r="AA5" s="113"/>
    </row>
    <row r="6" spans="1:30" ht="15.75">
      <c r="A6" s="200" t="s">
        <v>13</v>
      </c>
      <c r="B6" s="109" t="s">
        <v>14</v>
      </c>
      <c r="C6" s="134" t="s">
        <v>15</v>
      </c>
      <c r="D6" s="8" t="s">
        <v>16</v>
      </c>
      <c r="E6" s="46">
        <v>3748755.8500000006</v>
      </c>
      <c r="F6" s="9">
        <f>14235121.9+613644.6</f>
        <v>14848766.5</v>
      </c>
      <c r="G6" s="9">
        <v>4685795.100000001</v>
      </c>
      <c r="H6" s="9">
        <v>2241093.9</v>
      </c>
      <c r="I6" s="165">
        <v>3153406.6799999997</v>
      </c>
      <c r="J6" s="165">
        <v>8184.73</v>
      </c>
      <c r="K6" s="9">
        <f aca="true" t="shared" si="4" ref="K6:K60">I6-E6</f>
        <v>-595349.1700000009</v>
      </c>
      <c r="L6" s="9">
        <f aca="true" t="shared" si="5" ref="L6:L69">I6-G6</f>
        <v>-1532388.4200000009</v>
      </c>
      <c r="M6" s="9">
        <f aca="true" t="shared" si="6" ref="M6:M69">I6-F6</f>
        <v>-11695359.82</v>
      </c>
      <c r="N6" s="9">
        <f>J6-H6</f>
        <v>-2232909.17</v>
      </c>
      <c r="O6" s="57">
        <f t="shared" si="0"/>
        <v>0.8411875315913143</v>
      </c>
      <c r="P6" s="57">
        <f t="shared" si="1"/>
        <v>0.6729715262197443</v>
      </c>
      <c r="Q6" s="57">
        <f t="shared" si="2"/>
        <v>0.212368258333108</v>
      </c>
      <c r="R6" s="123">
        <f aca="true" t="shared" si="7" ref="R6:R36">W6-I6</f>
        <v>0</v>
      </c>
      <c r="S6" s="123">
        <f t="shared" si="3"/>
        <v>0</v>
      </c>
      <c r="T6" s="97">
        <v>3153039.6999999997</v>
      </c>
      <c r="U6" s="97">
        <v>7817.75</v>
      </c>
      <c r="V6" s="97">
        <v>366.98</v>
      </c>
      <c r="W6" s="6">
        <f>T6+V6</f>
        <v>3153406.6799999997</v>
      </c>
      <c r="X6" s="6">
        <f>U6+V6</f>
        <v>8184.73</v>
      </c>
      <c r="Y6" s="2"/>
      <c r="AD6" s="113"/>
    </row>
    <row r="7" spans="1:30" ht="15.75">
      <c r="A7" s="195"/>
      <c r="B7" s="109" t="s">
        <v>9</v>
      </c>
      <c r="C7" s="134" t="s">
        <v>10</v>
      </c>
      <c r="D7" s="4" t="s">
        <v>11</v>
      </c>
      <c r="E7" s="45">
        <v>21969.34</v>
      </c>
      <c r="F7" s="5">
        <v>80057.5</v>
      </c>
      <c r="G7" s="5">
        <v>30890</v>
      </c>
      <c r="H7" s="5">
        <v>8320</v>
      </c>
      <c r="I7" s="166">
        <v>24712.190000000002</v>
      </c>
      <c r="J7" s="166">
        <v>0.01</v>
      </c>
      <c r="K7" s="5">
        <f>I7-E7</f>
        <v>2742.850000000002</v>
      </c>
      <c r="L7" s="5">
        <f>I7-G7</f>
        <v>-6177.809999999998</v>
      </c>
      <c r="M7" s="5">
        <f>I7-F7</f>
        <v>-55345.31</v>
      </c>
      <c r="N7" s="5">
        <f>J7-H7</f>
        <v>-8319.99</v>
      </c>
      <c r="O7" s="57">
        <f t="shared" si="0"/>
        <v>1.1248489940981388</v>
      </c>
      <c r="P7" s="57">
        <f t="shared" si="1"/>
        <v>0.8000061508578828</v>
      </c>
      <c r="Q7" s="57">
        <f t="shared" si="2"/>
        <v>0.308680510882803</v>
      </c>
      <c r="R7" s="123">
        <f t="shared" si="7"/>
        <v>0</v>
      </c>
      <c r="S7" s="123">
        <f t="shared" si="3"/>
        <v>0</v>
      </c>
      <c r="T7" s="6">
        <v>24712.190000000002</v>
      </c>
      <c r="U7" s="98">
        <v>0.01</v>
      </c>
      <c r="V7" s="187"/>
      <c r="W7" s="6">
        <f aca="true" t="shared" si="8" ref="W7:W15">T7+V7</f>
        <v>24712.190000000002</v>
      </c>
      <c r="X7" s="6">
        <f aca="true" t="shared" si="9" ref="X7:X21">U7+V7</f>
        <v>0.01</v>
      </c>
      <c r="Y7" s="2"/>
      <c r="AD7" s="113"/>
    </row>
    <row r="8" spans="1:30" ht="15.75">
      <c r="A8" s="195"/>
      <c r="B8" s="109" t="s">
        <v>14</v>
      </c>
      <c r="C8" s="135" t="s">
        <v>154</v>
      </c>
      <c r="D8" s="47" t="s">
        <v>153</v>
      </c>
      <c r="E8" s="46"/>
      <c r="F8" s="46">
        <v>1204375.9</v>
      </c>
      <c r="G8" s="46">
        <v>648721.5</v>
      </c>
      <c r="H8" s="46">
        <v>429755.2</v>
      </c>
      <c r="I8" s="165">
        <v>482439.62</v>
      </c>
      <c r="J8" s="165">
        <v>17944.98</v>
      </c>
      <c r="K8" s="9">
        <f>I8-E8</f>
        <v>482439.62</v>
      </c>
      <c r="L8" s="9">
        <f>I8-G8</f>
        <v>-166281.88</v>
      </c>
      <c r="M8" s="9">
        <f>I8-F8</f>
        <v>-721936.2799999999</v>
      </c>
      <c r="N8" s="9">
        <f aca="true" t="shared" si="10" ref="N8:N69">J8-H8</f>
        <v>-411810.22000000003</v>
      </c>
      <c r="O8" s="57">
        <f t="shared" si="0"/>
      </c>
      <c r="P8" s="57">
        <f t="shared" si="1"/>
        <v>0.7436775565477636</v>
      </c>
      <c r="Q8" s="57">
        <f t="shared" si="2"/>
        <v>0.4005722964067946</v>
      </c>
      <c r="R8" s="123">
        <f t="shared" si="7"/>
        <v>0</v>
      </c>
      <c r="S8" s="123">
        <f t="shared" si="3"/>
        <v>0</v>
      </c>
      <c r="T8" s="6">
        <v>482439.62</v>
      </c>
      <c r="U8" s="6">
        <v>17944.98</v>
      </c>
      <c r="V8" s="97"/>
      <c r="W8" s="6">
        <f t="shared" si="8"/>
        <v>482439.62</v>
      </c>
      <c r="X8" s="6">
        <f t="shared" si="9"/>
        <v>17944.98</v>
      </c>
      <c r="Y8" s="2"/>
      <c r="AD8" s="113"/>
    </row>
    <row r="9" spans="1:30" ht="15.75">
      <c r="A9" s="195"/>
      <c r="B9" s="109" t="s">
        <v>14</v>
      </c>
      <c r="C9" s="134" t="s">
        <v>17</v>
      </c>
      <c r="D9" s="8" t="s">
        <v>18</v>
      </c>
      <c r="E9" s="46">
        <v>1480.05</v>
      </c>
      <c r="F9" s="9"/>
      <c r="G9" s="9"/>
      <c r="H9" s="9"/>
      <c r="I9" s="166">
        <v>-3494.3</v>
      </c>
      <c r="J9" s="166">
        <v>22.41</v>
      </c>
      <c r="K9" s="9">
        <f t="shared" si="4"/>
        <v>-4974.35</v>
      </c>
      <c r="L9" s="9">
        <f>I9-G9</f>
        <v>-3494.3</v>
      </c>
      <c r="M9" s="9">
        <f t="shared" si="6"/>
        <v>-3494.3</v>
      </c>
      <c r="N9" s="9">
        <f t="shared" si="10"/>
        <v>22.41</v>
      </c>
      <c r="O9" s="57">
        <f t="shared" si="0"/>
        <v>-2.3609337522381004</v>
      </c>
      <c r="P9" s="57">
        <f t="shared" si="1"/>
      </c>
      <c r="Q9" s="57">
        <f t="shared" si="2"/>
      </c>
      <c r="R9" s="123">
        <f t="shared" si="7"/>
        <v>0</v>
      </c>
      <c r="S9" s="123">
        <f t="shared" si="3"/>
        <v>0</v>
      </c>
      <c r="T9" s="6">
        <v>-3494.3</v>
      </c>
      <c r="U9" s="6">
        <v>22.41</v>
      </c>
      <c r="V9" s="98"/>
      <c r="W9" s="6">
        <f t="shared" si="8"/>
        <v>-3494.3</v>
      </c>
      <c r="X9" s="6">
        <f t="shared" si="9"/>
        <v>22.41</v>
      </c>
      <c r="Y9" s="2"/>
      <c r="AD9" s="113"/>
    </row>
    <row r="10" spans="1:30" ht="15.75">
      <c r="A10" s="195"/>
      <c r="B10" s="109" t="s">
        <v>14</v>
      </c>
      <c r="C10" s="134" t="s">
        <v>19</v>
      </c>
      <c r="D10" s="8" t="s">
        <v>20</v>
      </c>
      <c r="E10" s="46">
        <v>2155.87</v>
      </c>
      <c r="F10" s="9">
        <v>4690.3</v>
      </c>
      <c r="G10" s="9">
        <v>2720.4</v>
      </c>
      <c r="H10" s="9">
        <v>0</v>
      </c>
      <c r="I10" s="167">
        <v>-1454.97</v>
      </c>
      <c r="J10" s="167">
        <v>0</v>
      </c>
      <c r="K10" s="9">
        <f t="shared" si="4"/>
        <v>-3610.84</v>
      </c>
      <c r="L10" s="9">
        <f t="shared" si="5"/>
        <v>-4175.37</v>
      </c>
      <c r="M10" s="9">
        <f t="shared" si="6"/>
        <v>-6145.27</v>
      </c>
      <c r="N10" s="9">
        <f t="shared" si="10"/>
        <v>0</v>
      </c>
      <c r="O10" s="57">
        <f t="shared" si="0"/>
        <v>-0.6748876323711541</v>
      </c>
      <c r="P10" s="57">
        <f t="shared" si="1"/>
        <v>-0.534836788707543</v>
      </c>
      <c r="Q10" s="57">
        <f t="shared" si="2"/>
        <v>-0.3102083022407948</v>
      </c>
      <c r="R10" s="123">
        <f t="shared" si="7"/>
        <v>0</v>
      </c>
      <c r="S10" s="123">
        <f t="shared" si="3"/>
        <v>0</v>
      </c>
      <c r="T10" s="11">
        <v>-1454.97</v>
      </c>
      <c r="U10" s="11"/>
      <c r="V10" s="53"/>
      <c r="W10" s="6">
        <f t="shared" si="8"/>
        <v>-1454.97</v>
      </c>
      <c r="X10" s="6">
        <f t="shared" si="9"/>
        <v>0</v>
      </c>
      <c r="Y10" s="2"/>
      <c r="AD10" s="113"/>
    </row>
    <row r="11" spans="1:30" ht="15.75">
      <c r="A11" s="195"/>
      <c r="B11" s="109" t="s">
        <v>14</v>
      </c>
      <c r="C11" s="134" t="s">
        <v>21</v>
      </c>
      <c r="D11" s="8" t="s">
        <v>156</v>
      </c>
      <c r="E11" s="46">
        <v>101482.82999999999</v>
      </c>
      <c r="F11" s="9">
        <v>314766.5</v>
      </c>
      <c r="G11" s="9">
        <v>125074</v>
      </c>
      <c r="H11" s="9">
        <v>6858</v>
      </c>
      <c r="I11" s="167">
        <v>93926.92000000001</v>
      </c>
      <c r="J11" s="167">
        <v>2972.62</v>
      </c>
      <c r="K11" s="9">
        <f t="shared" si="4"/>
        <v>-7555.909999999974</v>
      </c>
      <c r="L11" s="9">
        <f t="shared" si="5"/>
        <v>-31147.079999999987</v>
      </c>
      <c r="M11" s="9">
        <f t="shared" si="6"/>
        <v>-220839.58</v>
      </c>
      <c r="N11" s="9">
        <f t="shared" si="10"/>
        <v>-3885.38</v>
      </c>
      <c r="O11" s="57">
        <f t="shared" si="0"/>
        <v>0.9255449419374688</v>
      </c>
      <c r="P11" s="57">
        <f t="shared" si="1"/>
        <v>0.7509707852951054</v>
      </c>
      <c r="Q11" s="57">
        <f t="shared" si="2"/>
        <v>0.2984018947378454</v>
      </c>
      <c r="R11" s="123">
        <f t="shared" si="7"/>
        <v>0</v>
      </c>
      <c r="S11" s="123">
        <f t="shared" si="3"/>
        <v>0</v>
      </c>
      <c r="T11" s="11">
        <v>93926.92000000001</v>
      </c>
      <c r="U11" s="11">
        <v>2972.62</v>
      </c>
      <c r="V11" s="53"/>
      <c r="W11" s="6">
        <f t="shared" si="8"/>
        <v>93926.92000000001</v>
      </c>
      <c r="X11" s="6">
        <f t="shared" si="9"/>
        <v>2972.62</v>
      </c>
      <c r="Y11" s="2"/>
      <c r="AD11" s="113"/>
    </row>
    <row r="12" spans="1:30" ht="15.75">
      <c r="A12" s="195"/>
      <c r="B12" s="109" t="s">
        <v>22</v>
      </c>
      <c r="C12" s="134" t="s">
        <v>23</v>
      </c>
      <c r="D12" s="8" t="s">
        <v>24</v>
      </c>
      <c r="E12" s="46">
        <v>46710.02</v>
      </c>
      <c r="F12" s="9">
        <v>1083466.2</v>
      </c>
      <c r="G12" s="9">
        <v>59600</v>
      </c>
      <c r="H12" s="9">
        <v>5400</v>
      </c>
      <c r="I12" s="167">
        <v>22386.45</v>
      </c>
      <c r="J12" s="167">
        <v>-518.99</v>
      </c>
      <c r="K12" s="9">
        <f t="shared" si="4"/>
        <v>-24323.569999999996</v>
      </c>
      <c r="L12" s="9">
        <f t="shared" si="5"/>
        <v>-37213.55</v>
      </c>
      <c r="M12" s="9">
        <f t="shared" si="6"/>
        <v>-1061079.75</v>
      </c>
      <c r="N12" s="9">
        <f t="shared" si="10"/>
        <v>-5918.99</v>
      </c>
      <c r="O12" s="57">
        <f t="shared" si="0"/>
        <v>0.47926440622376104</v>
      </c>
      <c r="P12" s="57">
        <f t="shared" si="1"/>
        <v>0.3756115771812081</v>
      </c>
      <c r="Q12" s="57">
        <f t="shared" si="2"/>
        <v>0.020661881284344635</v>
      </c>
      <c r="R12" s="123">
        <f t="shared" si="7"/>
        <v>0</v>
      </c>
      <c r="S12" s="123">
        <f t="shared" si="3"/>
        <v>0</v>
      </c>
      <c r="T12" s="11">
        <v>22386.45</v>
      </c>
      <c r="U12" s="11">
        <v>-518.99</v>
      </c>
      <c r="V12" s="53"/>
      <c r="W12" s="6">
        <f t="shared" si="8"/>
        <v>22386.45</v>
      </c>
      <c r="X12" s="6">
        <f t="shared" si="9"/>
        <v>-518.99</v>
      </c>
      <c r="Y12" s="2"/>
      <c r="AD12" s="113"/>
    </row>
    <row r="13" spans="1:30" ht="15.75">
      <c r="A13" s="195"/>
      <c r="B13" s="109" t="s">
        <v>111</v>
      </c>
      <c r="C13" s="134" t="s">
        <v>160</v>
      </c>
      <c r="D13" s="8" t="s">
        <v>159</v>
      </c>
      <c r="E13" s="46">
        <v>277749.9</v>
      </c>
      <c r="F13" s="9"/>
      <c r="G13" s="9"/>
      <c r="H13" s="9"/>
      <c r="I13" s="167">
        <v>0</v>
      </c>
      <c r="J13" s="167">
        <v>0</v>
      </c>
      <c r="K13" s="9">
        <f t="shared" si="4"/>
        <v>-277749.9</v>
      </c>
      <c r="L13" s="9">
        <f t="shared" si="5"/>
        <v>0</v>
      </c>
      <c r="M13" s="9">
        <f t="shared" si="6"/>
        <v>0</v>
      </c>
      <c r="N13" s="9">
        <f t="shared" si="10"/>
        <v>0</v>
      </c>
      <c r="O13" s="57">
        <f t="shared" si="0"/>
        <v>0</v>
      </c>
      <c r="P13" s="57">
        <f t="shared" si="1"/>
      </c>
      <c r="Q13" s="57">
        <f t="shared" si="2"/>
      </c>
      <c r="R13" s="123">
        <f t="shared" si="7"/>
        <v>0</v>
      </c>
      <c r="S13" s="123">
        <f t="shared" si="3"/>
        <v>0</v>
      </c>
      <c r="T13" s="178"/>
      <c r="U13" s="11"/>
      <c r="V13" s="53"/>
      <c r="W13" s="6">
        <f t="shared" si="8"/>
        <v>0</v>
      </c>
      <c r="X13" s="6">
        <f t="shared" si="9"/>
        <v>0</v>
      </c>
      <c r="Y13" s="2"/>
      <c r="AD13" s="113"/>
    </row>
    <row r="14" spans="1:30" ht="15.75">
      <c r="A14" s="195"/>
      <c r="B14" s="109" t="s">
        <v>22</v>
      </c>
      <c r="C14" s="134" t="s">
        <v>25</v>
      </c>
      <c r="D14" s="8" t="s">
        <v>26</v>
      </c>
      <c r="E14" s="46">
        <v>938366.48</v>
      </c>
      <c r="F14" s="9">
        <v>2237196.9</v>
      </c>
      <c r="G14" s="9">
        <v>960800</v>
      </c>
      <c r="H14" s="9">
        <v>451700</v>
      </c>
      <c r="I14" s="167">
        <v>893630.3700000001</v>
      </c>
      <c r="J14" s="167">
        <v>6253.679999999999</v>
      </c>
      <c r="K14" s="9">
        <f t="shared" si="4"/>
        <v>-44736.10999999987</v>
      </c>
      <c r="L14" s="9">
        <f t="shared" si="5"/>
        <v>-67169.62999999989</v>
      </c>
      <c r="M14" s="9">
        <f t="shared" si="6"/>
        <v>-1343566.5299999998</v>
      </c>
      <c r="N14" s="9">
        <f t="shared" si="10"/>
        <v>-445446.32</v>
      </c>
      <c r="O14" s="57">
        <f t="shared" si="0"/>
        <v>0.9523255455587034</v>
      </c>
      <c r="P14" s="57">
        <f t="shared" si="1"/>
        <v>0.9300898938384681</v>
      </c>
      <c r="Q14" s="57">
        <f t="shared" si="2"/>
        <v>0.3994419847443916</v>
      </c>
      <c r="R14" s="123">
        <f t="shared" si="7"/>
        <v>0</v>
      </c>
      <c r="S14" s="123">
        <f t="shared" si="3"/>
        <v>0</v>
      </c>
      <c r="T14" s="11">
        <v>893630.3700000001</v>
      </c>
      <c r="U14" s="11">
        <v>6253.679999999999</v>
      </c>
      <c r="V14" s="53"/>
      <c r="W14" s="6">
        <f t="shared" si="8"/>
        <v>893630.3700000001</v>
      </c>
      <c r="X14" s="6">
        <f t="shared" si="9"/>
        <v>6253.679999999999</v>
      </c>
      <c r="Y14" s="2"/>
      <c r="AD14" s="113"/>
    </row>
    <row r="15" spans="1:30" ht="15.75">
      <c r="A15" s="195"/>
      <c r="B15" s="109" t="s">
        <v>27</v>
      </c>
      <c r="C15" s="134" t="s">
        <v>28</v>
      </c>
      <c r="D15" s="8" t="s">
        <v>29</v>
      </c>
      <c r="E15" s="46">
        <v>73834.18</v>
      </c>
      <c r="F15" s="9">
        <v>228385.6</v>
      </c>
      <c r="G15" s="9">
        <v>88145</v>
      </c>
      <c r="H15" s="9">
        <v>16690</v>
      </c>
      <c r="I15" s="168">
        <v>65686.94</v>
      </c>
      <c r="J15" s="168">
        <v>5287.0599999999995</v>
      </c>
      <c r="K15" s="9">
        <f t="shared" si="4"/>
        <v>-8147.239999999991</v>
      </c>
      <c r="L15" s="9">
        <f t="shared" si="5"/>
        <v>-22458.059999999998</v>
      </c>
      <c r="M15" s="9">
        <f t="shared" si="6"/>
        <v>-162698.66</v>
      </c>
      <c r="N15" s="9">
        <f t="shared" si="10"/>
        <v>-11402.94</v>
      </c>
      <c r="O15" s="57">
        <f t="shared" si="0"/>
        <v>0.8896548996684193</v>
      </c>
      <c r="P15" s="57">
        <f t="shared" si="1"/>
        <v>0.7452145895966873</v>
      </c>
      <c r="Q15" s="57">
        <f t="shared" si="2"/>
        <v>0.2876141928387779</v>
      </c>
      <c r="R15" s="123">
        <f t="shared" si="7"/>
        <v>0</v>
      </c>
      <c r="S15" s="123">
        <f t="shared" si="3"/>
        <v>0</v>
      </c>
      <c r="T15" s="11">
        <v>64723.159999999996</v>
      </c>
      <c r="U15" s="11">
        <v>4323.28</v>
      </c>
      <c r="V15" s="99">
        <v>963.78</v>
      </c>
      <c r="W15" s="6">
        <f t="shared" si="8"/>
        <v>65686.94</v>
      </c>
      <c r="X15" s="6">
        <f t="shared" si="9"/>
        <v>5287.0599999999995</v>
      </c>
      <c r="Y15" s="2"/>
      <c r="AD15" s="113"/>
    </row>
    <row r="16" spans="1:30" ht="15.75">
      <c r="A16" s="195"/>
      <c r="B16" s="109" t="s">
        <v>22</v>
      </c>
      <c r="C16" s="134" t="s">
        <v>30</v>
      </c>
      <c r="D16" s="8" t="s">
        <v>31</v>
      </c>
      <c r="E16" s="46">
        <v>18.06</v>
      </c>
      <c r="F16" s="9"/>
      <c r="G16" s="9"/>
      <c r="H16" s="9"/>
      <c r="I16" s="169">
        <v>-0.1</v>
      </c>
      <c r="J16" s="169">
        <v>0</v>
      </c>
      <c r="K16" s="9">
        <f t="shared" si="4"/>
        <v>-18.16</v>
      </c>
      <c r="L16" s="9">
        <f t="shared" si="5"/>
        <v>-0.1</v>
      </c>
      <c r="M16" s="9">
        <f t="shared" si="6"/>
        <v>-0.1</v>
      </c>
      <c r="N16" s="9">
        <f t="shared" si="10"/>
        <v>0</v>
      </c>
      <c r="O16" s="57">
        <f t="shared" si="0"/>
        <v>-0.005537098560354375</v>
      </c>
      <c r="P16" s="57">
        <f t="shared" si="1"/>
      </c>
      <c r="Q16" s="57">
        <f t="shared" si="2"/>
      </c>
      <c r="R16" s="123">
        <f t="shared" si="7"/>
        <v>0</v>
      </c>
      <c r="S16" s="123">
        <f t="shared" si="3"/>
        <v>0</v>
      </c>
      <c r="T16" s="11">
        <v>-0.1</v>
      </c>
      <c r="U16" s="11"/>
      <c r="V16" s="63"/>
      <c r="W16" s="11">
        <f aca="true" t="shared" si="11" ref="W16:W21">T16+V16</f>
        <v>-0.1</v>
      </c>
      <c r="X16" s="6">
        <f t="shared" si="9"/>
        <v>0</v>
      </c>
      <c r="Y16" s="2"/>
      <c r="AD16" s="113"/>
    </row>
    <row r="17" spans="1:30" ht="15.75">
      <c r="A17" s="196"/>
      <c r="B17" s="74"/>
      <c r="C17" s="136"/>
      <c r="D17" s="75" t="s">
        <v>12</v>
      </c>
      <c r="E17" s="40">
        <f>SUM(E6:E16)</f>
        <v>5212522.579999999</v>
      </c>
      <c r="F17" s="40">
        <f>SUM(F6:F16)</f>
        <v>20001705.400000002</v>
      </c>
      <c r="G17" s="40">
        <f>SUM(G6:G16)</f>
        <v>6601746.000000001</v>
      </c>
      <c r="H17" s="40">
        <f>SUM(H6:H16)</f>
        <v>3159817.1</v>
      </c>
      <c r="I17" s="40">
        <f>SUM(I6:I16)</f>
        <v>4731239.800000001</v>
      </c>
      <c r="J17" s="40">
        <f>SUM(J6:J16)</f>
        <v>40146.49999999999</v>
      </c>
      <c r="K17" s="40">
        <f t="shared" si="4"/>
        <v>-481282.7799999984</v>
      </c>
      <c r="L17" s="40">
        <f t="shared" si="5"/>
        <v>-1870506.2000000002</v>
      </c>
      <c r="M17" s="40">
        <f t="shared" si="6"/>
        <v>-15270465.600000001</v>
      </c>
      <c r="N17" s="40">
        <f>J17-H17</f>
        <v>-3119670.6</v>
      </c>
      <c r="O17" s="76">
        <f t="shared" si="0"/>
        <v>0.9076679721548566</v>
      </c>
      <c r="P17" s="76">
        <f t="shared" si="1"/>
        <v>0.7166649247032527</v>
      </c>
      <c r="Q17" s="76">
        <f t="shared" si="2"/>
        <v>0.23654182007900187</v>
      </c>
      <c r="R17" s="124">
        <f t="shared" si="7"/>
        <v>0</v>
      </c>
      <c r="S17" s="124">
        <f t="shared" si="3"/>
        <v>0</v>
      </c>
      <c r="T17" s="77">
        <f>SUM(T6:T16)</f>
        <v>4729909.040000001</v>
      </c>
      <c r="U17" s="77">
        <f>SUM(U6:U16)</f>
        <v>38815.73999999999</v>
      </c>
      <c r="V17" s="77">
        <f>SUM(V6:V16)</f>
        <v>1330.76</v>
      </c>
      <c r="W17" s="11">
        <f>T17+V17</f>
        <v>4731239.800000001</v>
      </c>
      <c r="X17" s="6">
        <f t="shared" si="9"/>
        <v>40146.49999999999</v>
      </c>
      <c r="Y17" s="7"/>
      <c r="AD17" s="113"/>
    </row>
    <row r="18" spans="1:30" ht="15.75">
      <c r="A18" s="110" t="s">
        <v>108</v>
      </c>
      <c r="B18" s="109" t="s">
        <v>33</v>
      </c>
      <c r="C18" s="134" t="s">
        <v>35</v>
      </c>
      <c r="D18" s="8" t="s">
        <v>36</v>
      </c>
      <c r="E18" s="46">
        <v>32</v>
      </c>
      <c r="F18" s="9">
        <v>140</v>
      </c>
      <c r="G18" s="9">
        <v>55</v>
      </c>
      <c r="H18" s="9">
        <v>10</v>
      </c>
      <c r="I18" s="170">
        <v>20</v>
      </c>
      <c r="J18" s="170">
        <v>0</v>
      </c>
      <c r="K18" s="9">
        <f t="shared" si="4"/>
        <v>-12</v>
      </c>
      <c r="L18" s="9">
        <f t="shared" si="5"/>
        <v>-35</v>
      </c>
      <c r="M18" s="9">
        <f t="shared" si="6"/>
        <v>-120</v>
      </c>
      <c r="N18" s="9">
        <f t="shared" si="10"/>
        <v>-10</v>
      </c>
      <c r="O18" s="57">
        <f t="shared" si="0"/>
        <v>0.625</v>
      </c>
      <c r="P18" s="57">
        <f t="shared" si="1"/>
        <v>0.36363636363636365</v>
      </c>
      <c r="Q18" s="57">
        <f t="shared" si="2"/>
        <v>0.14285714285714285</v>
      </c>
      <c r="R18" s="123">
        <f t="shared" si="7"/>
        <v>0</v>
      </c>
      <c r="S18" s="123">
        <f t="shared" si="3"/>
        <v>0</v>
      </c>
      <c r="T18" s="12">
        <v>20</v>
      </c>
      <c r="U18" s="12"/>
      <c r="V18" s="100"/>
      <c r="W18" s="11">
        <f t="shared" si="11"/>
        <v>20</v>
      </c>
      <c r="X18" s="6">
        <f t="shared" si="9"/>
        <v>0</v>
      </c>
      <c r="Y18" s="2"/>
      <c r="AD18" s="113"/>
    </row>
    <row r="19" spans="1:30" ht="19.5" customHeight="1">
      <c r="A19" s="110" t="s">
        <v>32</v>
      </c>
      <c r="B19" s="109" t="s">
        <v>33</v>
      </c>
      <c r="C19" s="134" t="s">
        <v>34</v>
      </c>
      <c r="D19" s="8" t="s">
        <v>155</v>
      </c>
      <c r="E19" s="46">
        <v>90.2</v>
      </c>
      <c r="F19" s="9"/>
      <c r="G19" s="9"/>
      <c r="H19" s="9"/>
      <c r="I19" s="170">
        <v>47.2</v>
      </c>
      <c r="J19" s="170">
        <v>4.8</v>
      </c>
      <c r="K19" s="9">
        <f t="shared" si="4"/>
        <v>-43</v>
      </c>
      <c r="L19" s="9">
        <f t="shared" si="5"/>
        <v>47.2</v>
      </c>
      <c r="M19" s="9">
        <f t="shared" si="6"/>
        <v>47.2</v>
      </c>
      <c r="N19" s="9">
        <f t="shared" si="10"/>
        <v>4.8</v>
      </c>
      <c r="O19" s="57">
        <f t="shared" si="0"/>
        <v>0.5232815964523282</v>
      </c>
      <c r="P19" s="57">
        <f t="shared" si="1"/>
      </c>
      <c r="Q19" s="57">
        <f t="shared" si="2"/>
      </c>
      <c r="R19" s="123">
        <f t="shared" si="7"/>
        <v>0</v>
      </c>
      <c r="S19" s="123">
        <f t="shared" si="3"/>
        <v>0</v>
      </c>
      <c r="T19" s="12">
        <v>47.2</v>
      </c>
      <c r="U19" s="12">
        <v>4.8</v>
      </c>
      <c r="V19" s="100"/>
      <c r="W19" s="11">
        <f t="shared" si="11"/>
        <v>47.2</v>
      </c>
      <c r="X19" s="6">
        <f t="shared" si="9"/>
        <v>4.8</v>
      </c>
      <c r="Y19" s="2"/>
      <c r="AD19" s="113"/>
    </row>
    <row r="20" spans="1:30" ht="31.5">
      <c r="A20" s="111" t="s">
        <v>39</v>
      </c>
      <c r="B20" s="112" t="s">
        <v>110</v>
      </c>
      <c r="C20" s="134" t="s">
        <v>40</v>
      </c>
      <c r="D20" s="8" t="s">
        <v>41</v>
      </c>
      <c r="E20" s="46">
        <v>296</v>
      </c>
      <c r="F20" s="9">
        <v>969.6</v>
      </c>
      <c r="G20" s="9">
        <v>422</v>
      </c>
      <c r="H20" s="9">
        <v>115</v>
      </c>
      <c r="I20" s="170">
        <v>6.4</v>
      </c>
      <c r="J20" s="170">
        <v>0</v>
      </c>
      <c r="K20" s="9">
        <f t="shared" si="4"/>
        <v>-289.6</v>
      </c>
      <c r="L20" s="9">
        <f t="shared" si="5"/>
        <v>-415.6</v>
      </c>
      <c r="M20" s="9">
        <f t="shared" si="6"/>
        <v>-963.2</v>
      </c>
      <c r="N20" s="9">
        <f t="shared" si="10"/>
        <v>-115</v>
      </c>
      <c r="O20" s="57">
        <f t="shared" si="0"/>
        <v>0.021621621621621623</v>
      </c>
      <c r="P20" s="57">
        <f t="shared" si="1"/>
        <v>0.015165876777251185</v>
      </c>
      <c r="Q20" s="57">
        <f t="shared" si="2"/>
        <v>0.006600660066006601</v>
      </c>
      <c r="R20" s="123">
        <f t="shared" si="7"/>
        <v>0</v>
      </c>
      <c r="S20" s="123">
        <f t="shared" si="3"/>
        <v>0</v>
      </c>
      <c r="T20" s="12">
        <v>6.4</v>
      </c>
      <c r="U20" s="12">
        <v>0</v>
      </c>
      <c r="V20" s="100"/>
      <c r="W20" s="11">
        <f t="shared" si="11"/>
        <v>6.4</v>
      </c>
      <c r="X20" s="6">
        <f t="shared" si="9"/>
        <v>0</v>
      </c>
      <c r="Y20" s="2"/>
      <c r="AD20" s="113"/>
    </row>
    <row r="21" spans="1:30" ht="15.75">
      <c r="A21" s="110" t="s">
        <v>37</v>
      </c>
      <c r="B21" s="109" t="s">
        <v>14</v>
      </c>
      <c r="C21" s="134" t="s">
        <v>38</v>
      </c>
      <c r="D21" s="8" t="s">
        <v>112</v>
      </c>
      <c r="E21" s="46">
        <v>25</v>
      </c>
      <c r="F21" s="9">
        <v>120</v>
      </c>
      <c r="G21" s="9">
        <v>30</v>
      </c>
      <c r="H21" s="9">
        <v>5</v>
      </c>
      <c r="I21" s="170">
        <v>20</v>
      </c>
      <c r="J21" s="170">
        <v>5</v>
      </c>
      <c r="K21" s="9">
        <f t="shared" si="4"/>
        <v>-5</v>
      </c>
      <c r="L21" s="9">
        <f t="shared" si="5"/>
        <v>-10</v>
      </c>
      <c r="M21" s="9">
        <f t="shared" si="6"/>
        <v>-100</v>
      </c>
      <c r="N21" s="9">
        <f t="shared" si="10"/>
        <v>0</v>
      </c>
      <c r="O21" s="57">
        <f t="shared" si="0"/>
        <v>0.8</v>
      </c>
      <c r="P21" s="57">
        <f t="shared" si="1"/>
        <v>0.6666666666666666</v>
      </c>
      <c r="Q21" s="57">
        <f t="shared" si="2"/>
        <v>0.16666666666666666</v>
      </c>
      <c r="R21" s="123">
        <f t="shared" si="7"/>
        <v>0</v>
      </c>
      <c r="S21" s="123">
        <f t="shared" si="3"/>
        <v>0</v>
      </c>
      <c r="T21" s="12">
        <v>20</v>
      </c>
      <c r="U21" s="12">
        <v>5</v>
      </c>
      <c r="V21" s="100"/>
      <c r="W21" s="11">
        <f t="shared" si="11"/>
        <v>20</v>
      </c>
      <c r="X21" s="6">
        <f t="shared" si="9"/>
        <v>5</v>
      </c>
      <c r="Y21" s="2"/>
      <c r="AD21" s="113"/>
    </row>
    <row r="22" spans="1:30" ht="27.75" customHeight="1">
      <c r="A22" s="201"/>
      <c r="B22" s="201"/>
      <c r="C22" s="202"/>
      <c r="D22" s="70" t="s">
        <v>42</v>
      </c>
      <c r="E22" s="175">
        <f>E26+E29+E37+E47+E49+E55+E59+E61+E72</f>
        <v>1987973.5</v>
      </c>
      <c r="F22" s="176">
        <f>F26+F29+F37+F47+F49+F55+F59+F61+F72</f>
        <v>6224060.930000001</v>
      </c>
      <c r="G22" s="176">
        <f>G26+G29+G37+G47+G49+G55+G59+G61+G72</f>
        <v>2483324.41</v>
      </c>
      <c r="H22" s="176">
        <f>H26+H29+H37+H47+H49+H55+H59+H61+H72</f>
        <v>464434.2</v>
      </c>
      <c r="I22" s="176">
        <f>I26+I29+I37+I47+I49+I55+I59+I61+I72</f>
        <v>2519172.107</v>
      </c>
      <c r="J22" s="176">
        <f>J26+J29+J37+J47+J49+J55+J59+J61+J72</f>
        <v>204617.327</v>
      </c>
      <c r="K22" s="160">
        <f t="shared" si="4"/>
        <v>531198.6069999998</v>
      </c>
      <c r="L22" s="160">
        <f t="shared" si="5"/>
        <v>35847.696999999695</v>
      </c>
      <c r="M22" s="160">
        <f t="shared" si="6"/>
        <v>-3704888.823000001</v>
      </c>
      <c r="N22" s="160">
        <f t="shared" si="10"/>
        <v>-259816.87300000002</v>
      </c>
      <c r="O22" s="68">
        <f t="shared" si="0"/>
        <v>1.267206080463346</v>
      </c>
      <c r="P22" s="68">
        <f t="shared" si="1"/>
        <v>1.014435366098624</v>
      </c>
      <c r="Q22" s="68">
        <f t="shared" si="2"/>
        <v>0.40474734025458836</v>
      </c>
      <c r="R22" s="154">
        <f t="shared" si="7"/>
        <v>0</v>
      </c>
      <c r="S22" s="154">
        <f t="shared" si="3"/>
        <v>0</v>
      </c>
      <c r="T22" s="155">
        <f>T26+T29+T37+T47+T49+T55+T59+T61+T72</f>
        <v>2490829.91</v>
      </c>
      <c r="U22" s="155">
        <f>U26+U29+U37+U47+U49+U55+U59+U61+U72</f>
        <v>176275.12999999995</v>
      </c>
      <c r="V22" s="155">
        <f>V26+V29+V37+V47+V49+V55+V59+V61+V72</f>
        <v>28342.197</v>
      </c>
      <c r="W22" s="155">
        <f>T22+V22</f>
        <v>2519172.1070000003</v>
      </c>
      <c r="X22" s="155">
        <f>U22+V22</f>
        <v>204617.32699999993</v>
      </c>
      <c r="Y22" s="156"/>
      <c r="AC22" s="11"/>
      <c r="AD22" s="113"/>
    </row>
    <row r="23" spans="1:25" ht="15.75">
      <c r="A23" s="194" t="s">
        <v>39</v>
      </c>
      <c r="B23" s="197" t="s">
        <v>110</v>
      </c>
      <c r="C23" s="137" t="s">
        <v>75</v>
      </c>
      <c r="D23" s="13" t="s">
        <v>157</v>
      </c>
      <c r="E23" s="50">
        <v>38334.81</v>
      </c>
      <c r="F23" s="9">
        <f>135475.5+25225.6</f>
        <v>160701.1</v>
      </c>
      <c r="G23" s="9">
        <v>60450</v>
      </c>
      <c r="H23" s="9">
        <v>13600</v>
      </c>
      <c r="I23" s="48">
        <v>55329.22</v>
      </c>
      <c r="J23" s="48">
        <v>4502.55</v>
      </c>
      <c r="K23" s="14">
        <f t="shared" si="4"/>
        <v>16994.410000000003</v>
      </c>
      <c r="L23" s="14">
        <f t="shared" si="5"/>
        <v>-5120.779999999999</v>
      </c>
      <c r="M23" s="14">
        <f t="shared" si="6"/>
        <v>-105371.88</v>
      </c>
      <c r="N23" s="14">
        <f t="shared" si="10"/>
        <v>-9097.45</v>
      </c>
      <c r="O23" s="58">
        <f t="shared" si="0"/>
        <v>1.4433153575040545</v>
      </c>
      <c r="P23" s="58">
        <f t="shared" si="1"/>
        <v>0.9152889991728702</v>
      </c>
      <c r="Q23" s="58">
        <f t="shared" si="2"/>
        <v>0.3442989500383009</v>
      </c>
      <c r="R23" s="123">
        <f t="shared" si="7"/>
        <v>0</v>
      </c>
      <c r="S23" s="123">
        <f t="shared" si="3"/>
        <v>0</v>
      </c>
      <c r="T23" s="12">
        <v>54713.86</v>
      </c>
      <c r="U23" s="12">
        <v>3887.19</v>
      </c>
      <c r="V23" s="100">
        <v>615.36</v>
      </c>
      <c r="W23" s="12">
        <f>T23+V23</f>
        <v>55329.22</v>
      </c>
      <c r="X23" s="12">
        <f>U23+V23</f>
        <v>4502.55</v>
      </c>
      <c r="Y23" s="15"/>
    </row>
    <row r="24" spans="1:25" ht="15.75">
      <c r="A24" s="195"/>
      <c r="B24" s="198"/>
      <c r="C24" s="134" t="s">
        <v>43</v>
      </c>
      <c r="D24" s="13" t="s">
        <v>44</v>
      </c>
      <c r="E24" s="49">
        <v>3971.23</v>
      </c>
      <c r="F24" s="9">
        <v>31937.8</v>
      </c>
      <c r="G24" s="9">
        <v>31937.8</v>
      </c>
      <c r="H24" s="9">
        <v>0</v>
      </c>
      <c r="I24" s="25">
        <v>39519.14</v>
      </c>
      <c r="J24" s="25">
        <v>0</v>
      </c>
      <c r="K24" s="9">
        <f t="shared" si="4"/>
        <v>35547.909999999996</v>
      </c>
      <c r="L24" s="9">
        <f t="shared" si="5"/>
        <v>7581.34</v>
      </c>
      <c r="M24" s="9">
        <f t="shared" si="6"/>
        <v>7581.34</v>
      </c>
      <c r="N24" s="9">
        <f t="shared" si="10"/>
        <v>0</v>
      </c>
      <c r="O24" s="58">
        <f t="shared" si="0"/>
        <v>9.951360157935953</v>
      </c>
      <c r="P24" s="58">
        <f t="shared" si="1"/>
        <v>1.2373782790298644</v>
      </c>
      <c r="Q24" s="58">
        <f t="shared" si="2"/>
        <v>1.2373782790298644</v>
      </c>
      <c r="R24" s="123">
        <f t="shared" si="7"/>
        <v>0</v>
      </c>
      <c r="S24" s="123">
        <f t="shared" si="3"/>
        <v>0</v>
      </c>
      <c r="T24" s="10">
        <v>39519.14</v>
      </c>
      <c r="U24" s="10"/>
      <c r="V24" s="101"/>
      <c r="W24" s="12">
        <f aca="true" t="shared" si="12" ref="W24:W72">T24+V24</f>
        <v>39519.14</v>
      </c>
      <c r="X24" s="12">
        <f aca="true" t="shared" si="13" ref="X24:X72">U24+V24</f>
        <v>0</v>
      </c>
      <c r="Y24" s="15"/>
    </row>
    <row r="25" spans="1:25" ht="15.75">
      <c r="A25" s="195"/>
      <c r="B25" s="198"/>
      <c r="C25" s="134" t="s">
        <v>76</v>
      </c>
      <c r="D25" s="13" t="s">
        <v>77</v>
      </c>
      <c r="E25" s="49">
        <v>26023.65</v>
      </c>
      <c r="F25" s="9">
        <f>110819.4+14383.9-8662.9</f>
        <v>116540.4</v>
      </c>
      <c r="G25" s="9">
        <v>39700</v>
      </c>
      <c r="H25" s="9">
        <v>8550</v>
      </c>
      <c r="I25" s="49">
        <v>35642.88</v>
      </c>
      <c r="J25" s="49">
        <v>3815.95</v>
      </c>
      <c r="K25" s="14">
        <f t="shared" si="4"/>
        <v>9619.229999999996</v>
      </c>
      <c r="L25" s="14">
        <f t="shared" si="5"/>
        <v>-4057.1200000000026</v>
      </c>
      <c r="M25" s="14">
        <f t="shared" si="6"/>
        <v>-80897.51999999999</v>
      </c>
      <c r="N25" s="14">
        <f t="shared" si="10"/>
        <v>-4734.05</v>
      </c>
      <c r="O25" s="58">
        <f t="shared" si="0"/>
        <v>1.3696341596970447</v>
      </c>
      <c r="P25" s="58">
        <f t="shared" si="1"/>
        <v>0.8978055415617128</v>
      </c>
      <c r="Q25" s="58">
        <f t="shared" si="2"/>
        <v>0.30584140778648433</v>
      </c>
      <c r="R25" s="123">
        <f t="shared" si="7"/>
        <v>0</v>
      </c>
      <c r="S25" s="123">
        <f t="shared" si="3"/>
        <v>0</v>
      </c>
      <c r="T25" s="6">
        <v>35244.39</v>
      </c>
      <c r="U25" s="6">
        <v>3417.46</v>
      </c>
      <c r="V25" s="102">
        <v>398.49</v>
      </c>
      <c r="W25" s="12">
        <f t="shared" si="12"/>
        <v>35642.88</v>
      </c>
      <c r="X25" s="12">
        <f t="shared" si="13"/>
        <v>3815.95</v>
      </c>
      <c r="Y25" s="15"/>
    </row>
    <row r="26" spans="1:25" ht="15.75">
      <c r="A26" s="196"/>
      <c r="B26" s="199"/>
      <c r="C26" s="136"/>
      <c r="D26" s="75" t="s">
        <v>12</v>
      </c>
      <c r="E26" s="40">
        <f aca="true" t="shared" si="14" ref="E26:J26">SUM(E23:E25)</f>
        <v>68329.69</v>
      </c>
      <c r="F26" s="40">
        <f t="shared" si="14"/>
        <v>309179.3</v>
      </c>
      <c r="G26" s="182">
        <f t="shared" si="14"/>
        <v>132087.8</v>
      </c>
      <c r="H26" s="182">
        <f t="shared" si="14"/>
        <v>22150</v>
      </c>
      <c r="I26" s="182">
        <f t="shared" si="14"/>
        <v>130491.23999999999</v>
      </c>
      <c r="J26" s="182">
        <f t="shared" si="14"/>
        <v>8318.5</v>
      </c>
      <c r="K26" s="40">
        <f t="shared" si="4"/>
        <v>62161.54999999999</v>
      </c>
      <c r="L26" s="40">
        <f t="shared" si="5"/>
        <v>-1596.5599999999977</v>
      </c>
      <c r="M26" s="40">
        <f t="shared" si="6"/>
        <v>-178688.06</v>
      </c>
      <c r="N26" s="40">
        <f t="shared" si="10"/>
        <v>-13831.5</v>
      </c>
      <c r="O26" s="78">
        <f t="shared" si="0"/>
        <v>1.9097297236384358</v>
      </c>
      <c r="P26" s="78">
        <f t="shared" si="1"/>
        <v>0.9879128882455458</v>
      </c>
      <c r="Q26" s="78">
        <f t="shared" si="2"/>
        <v>0.4220568453321422</v>
      </c>
      <c r="R26" s="124">
        <f t="shared" si="7"/>
        <v>0</v>
      </c>
      <c r="S26" s="124">
        <f t="shared" si="3"/>
        <v>0</v>
      </c>
      <c r="T26" s="77">
        <f>SUM(T23:T25)</f>
        <v>129477.39</v>
      </c>
      <c r="U26" s="77">
        <f>SUM(U23:U25)</f>
        <v>7304.65</v>
      </c>
      <c r="V26" s="77">
        <f>SUM(V23:V25)</f>
        <v>1013.85</v>
      </c>
      <c r="W26" s="12">
        <f t="shared" si="12"/>
        <v>130491.24</v>
      </c>
      <c r="X26" s="12">
        <f t="shared" si="13"/>
        <v>8318.5</v>
      </c>
      <c r="Y26" s="7"/>
    </row>
    <row r="27" spans="1:25" ht="15.75">
      <c r="A27" s="189">
        <v>951</v>
      </c>
      <c r="B27" s="189" t="s">
        <v>14</v>
      </c>
      <c r="C27" s="137" t="s">
        <v>126</v>
      </c>
      <c r="D27" s="16" t="s">
        <v>46</v>
      </c>
      <c r="E27" s="186">
        <v>25204.46</v>
      </c>
      <c r="F27" s="9">
        <v>91712.1</v>
      </c>
      <c r="G27" s="163">
        <v>30703</v>
      </c>
      <c r="H27" s="163">
        <v>5900</v>
      </c>
      <c r="I27" s="48">
        <v>31829.809999999998</v>
      </c>
      <c r="J27" s="48">
        <v>5242.35</v>
      </c>
      <c r="K27" s="9">
        <f t="shared" si="4"/>
        <v>6625.3499999999985</v>
      </c>
      <c r="L27" s="9">
        <f t="shared" si="5"/>
        <v>1126.8099999999977</v>
      </c>
      <c r="M27" s="9">
        <f t="shared" si="6"/>
        <v>-59882.29000000001</v>
      </c>
      <c r="N27" s="9">
        <f t="shared" si="10"/>
        <v>-657.6499999999996</v>
      </c>
      <c r="O27" s="58">
        <f t="shared" si="0"/>
        <v>1.2628641914962668</v>
      </c>
      <c r="P27" s="58">
        <f t="shared" si="1"/>
        <v>1.0367003224440607</v>
      </c>
      <c r="Q27" s="58">
        <f t="shared" si="2"/>
        <v>0.34706227422553837</v>
      </c>
      <c r="R27" s="123">
        <f t="shared" si="7"/>
        <v>0</v>
      </c>
      <c r="S27" s="123">
        <f t="shared" si="3"/>
        <v>0</v>
      </c>
      <c r="T27" s="12">
        <v>30615.17</v>
      </c>
      <c r="U27" s="12">
        <v>4027.71</v>
      </c>
      <c r="V27" s="100">
        <v>1214.64</v>
      </c>
      <c r="W27" s="12">
        <f t="shared" si="12"/>
        <v>31829.809999999998</v>
      </c>
      <c r="X27" s="12">
        <f t="shared" si="13"/>
        <v>5242.35</v>
      </c>
      <c r="Y27" s="2"/>
    </row>
    <row r="28" spans="1:25" ht="15.75">
      <c r="A28" s="189"/>
      <c r="B28" s="189"/>
      <c r="C28" s="134" t="s">
        <v>125</v>
      </c>
      <c r="D28" s="13" t="s">
        <v>48</v>
      </c>
      <c r="E28" s="186">
        <v>2753.29</v>
      </c>
      <c r="F28" s="9">
        <v>14224.9</v>
      </c>
      <c r="G28" s="163">
        <v>2622.1</v>
      </c>
      <c r="H28" s="163">
        <v>1380.8</v>
      </c>
      <c r="I28" s="48">
        <v>3176.52</v>
      </c>
      <c r="J28" s="48">
        <v>216.05</v>
      </c>
      <c r="K28" s="9">
        <f t="shared" si="4"/>
        <v>423.23</v>
      </c>
      <c r="L28" s="9">
        <f t="shared" si="5"/>
        <v>554.4200000000001</v>
      </c>
      <c r="M28" s="9">
        <f t="shared" si="6"/>
        <v>-11048.38</v>
      </c>
      <c r="N28" s="9">
        <f t="shared" si="10"/>
        <v>-1164.75</v>
      </c>
      <c r="O28" s="58">
        <f t="shared" si="0"/>
        <v>1.1537179156572681</v>
      </c>
      <c r="P28" s="58">
        <f t="shared" si="1"/>
        <v>1.211441211242897</v>
      </c>
      <c r="Q28" s="58">
        <f t="shared" si="2"/>
        <v>0.2233070179755218</v>
      </c>
      <c r="R28" s="123">
        <f t="shared" si="7"/>
        <v>0</v>
      </c>
      <c r="S28" s="123">
        <f t="shared" si="3"/>
        <v>0</v>
      </c>
      <c r="T28" s="12">
        <v>3022.5</v>
      </c>
      <c r="U28" s="12">
        <v>62.03</v>
      </c>
      <c r="V28" s="100">
        <v>154.02</v>
      </c>
      <c r="W28" s="12">
        <f t="shared" si="12"/>
        <v>3176.52</v>
      </c>
      <c r="X28" s="12">
        <f t="shared" si="13"/>
        <v>216.05</v>
      </c>
      <c r="Y28" s="2"/>
    </row>
    <row r="29" spans="1:25" ht="15.75">
      <c r="A29" s="189"/>
      <c r="B29" s="189"/>
      <c r="C29" s="136"/>
      <c r="D29" s="79" t="s">
        <v>12</v>
      </c>
      <c r="E29" s="40">
        <f>E27+E28</f>
        <v>27957.75</v>
      </c>
      <c r="F29" s="40">
        <f>F27+F28</f>
        <v>105937</v>
      </c>
      <c r="G29" s="182">
        <f>G27+G28</f>
        <v>33325.1</v>
      </c>
      <c r="H29" s="182">
        <f>H27+H28</f>
        <v>7280.8</v>
      </c>
      <c r="I29" s="182">
        <f>I27+I28</f>
        <v>35006.329999999994</v>
      </c>
      <c r="J29" s="182">
        <f>J27+J28</f>
        <v>5458.400000000001</v>
      </c>
      <c r="K29" s="40">
        <f t="shared" si="4"/>
        <v>7048.5799999999945</v>
      </c>
      <c r="L29" s="40">
        <f t="shared" si="5"/>
        <v>1681.229999999996</v>
      </c>
      <c r="M29" s="40">
        <f t="shared" si="6"/>
        <v>-70930.67000000001</v>
      </c>
      <c r="N29" s="40">
        <f t="shared" si="10"/>
        <v>-1822.3999999999996</v>
      </c>
      <c r="O29" s="78">
        <f t="shared" si="0"/>
        <v>1.2521154241668229</v>
      </c>
      <c r="P29" s="78">
        <f t="shared" si="1"/>
        <v>1.050449360992165</v>
      </c>
      <c r="Q29" s="78">
        <f t="shared" si="2"/>
        <v>0.3304447926597883</v>
      </c>
      <c r="R29" s="124">
        <f t="shared" si="7"/>
        <v>0</v>
      </c>
      <c r="S29" s="124">
        <f t="shared" si="3"/>
        <v>0</v>
      </c>
      <c r="T29" s="77">
        <f>T27+T28</f>
        <v>33637.67</v>
      </c>
      <c r="U29" s="77">
        <f>U27+U28</f>
        <v>4089.7400000000002</v>
      </c>
      <c r="V29" s="77">
        <f>V27+V28</f>
        <v>1368.66</v>
      </c>
      <c r="W29" s="12">
        <f t="shared" si="12"/>
        <v>35006.33</v>
      </c>
      <c r="X29" s="12">
        <f t="shared" si="13"/>
        <v>5458.400000000001</v>
      </c>
      <c r="Y29" s="7"/>
    </row>
    <row r="30" spans="1:25" ht="15.75">
      <c r="A30" s="203" t="s">
        <v>49</v>
      </c>
      <c r="B30" s="189" t="s">
        <v>50</v>
      </c>
      <c r="C30" s="134" t="s">
        <v>51</v>
      </c>
      <c r="D30" s="13" t="s">
        <v>52</v>
      </c>
      <c r="E30" s="49"/>
      <c r="F30" s="5">
        <v>496</v>
      </c>
      <c r="G30" s="162">
        <f>H30</f>
        <v>0</v>
      </c>
      <c r="H30" s="162">
        <v>0</v>
      </c>
      <c r="I30" s="49">
        <v>0</v>
      </c>
      <c r="J30" s="49">
        <v>0</v>
      </c>
      <c r="K30" s="5">
        <f t="shared" si="4"/>
        <v>0</v>
      </c>
      <c r="L30" s="5">
        <f t="shared" si="5"/>
        <v>0</v>
      </c>
      <c r="M30" s="5">
        <f t="shared" si="6"/>
        <v>-496</v>
      </c>
      <c r="N30" s="5">
        <f t="shared" si="10"/>
        <v>0</v>
      </c>
      <c r="O30" s="58">
        <f t="shared" si="0"/>
      </c>
      <c r="P30" s="58">
        <f t="shared" si="1"/>
      </c>
      <c r="Q30" s="58">
        <f t="shared" si="2"/>
        <v>0</v>
      </c>
      <c r="R30" s="123">
        <f t="shared" si="7"/>
        <v>0</v>
      </c>
      <c r="S30" s="123">
        <f t="shared" si="3"/>
        <v>0</v>
      </c>
      <c r="U30" s="6">
        <v>0</v>
      </c>
      <c r="V30" s="102"/>
      <c r="W30" s="12">
        <f t="shared" si="12"/>
        <v>0</v>
      </c>
      <c r="X30" s="12">
        <f t="shared" si="13"/>
        <v>0</v>
      </c>
      <c r="Y30" s="2"/>
    </row>
    <row r="31" spans="1:25" ht="15.75">
      <c r="A31" s="203"/>
      <c r="B31" s="189"/>
      <c r="C31" s="134" t="s">
        <v>53</v>
      </c>
      <c r="D31" s="17" t="s">
        <v>54</v>
      </c>
      <c r="E31" s="49">
        <v>25246.420000000002</v>
      </c>
      <c r="F31" s="5">
        <v>100081.7</v>
      </c>
      <c r="G31" s="162">
        <v>38000</v>
      </c>
      <c r="H31" s="162">
        <v>8500</v>
      </c>
      <c r="I31" s="49">
        <v>31121.4</v>
      </c>
      <c r="J31" s="49">
        <v>1323.8899999999999</v>
      </c>
      <c r="K31" s="5">
        <f t="shared" si="4"/>
        <v>5874.98</v>
      </c>
      <c r="L31" s="5">
        <f t="shared" si="5"/>
        <v>-6878.5999999999985</v>
      </c>
      <c r="M31" s="5">
        <f t="shared" si="6"/>
        <v>-68960.29999999999</v>
      </c>
      <c r="N31" s="5">
        <f t="shared" si="10"/>
        <v>-7176.110000000001</v>
      </c>
      <c r="O31" s="58">
        <f t="shared" si="0"/>
        <v>1.2327054687357653</v>
      </c>
      <c r="P31" s="58">
        <f t="shared" si="1"/>
        <v>0.8189842105263159</v>
      </c>
      <c r="Q31" s="58">
        <f t="shared" si="2"/>
        <v>0.3109599457243432</v>
      </c>
      <c r="R31" s="123">
        <f t="shared" si="7"/>
        <v>0</v>
      </c>
      <c r="S31" s="123">
        <f t="shared" si="3"/>
        <v>0</v>
      </c>
      <c r="T31" s="6">
        <v>30989.54</v>
      </c>
      <c r="U31" s="6">
        <v>1192.03</v>
      </c>
      <c r="V31" s="102">
        <v>131.86</v>
      </c>
      <c r="W31" s="12">
        <f t="shared" si="12"/>
        <v>31121.4</v>
      </c>
      <c r="X31" s="12">
        <f t="shared" si="13"/>
        <v>1323.8899999999999</v>
      </c>
      <c r="Y31" s="2"/>
    </row>
    <row r="32" spans="1:25" ht="15.75">
      <c r="A32" s="203"/>
      <c r="B32" s="189"/>
      <c r="C32" s="137" t="s">
        <v>45</v>
      </c>
      <c r="D32" s="16" t="s">
        <v>55</v>
      </c>
      <c r="E32" s="49">
        <v>326.08</v>
      </c>
      <c r="F32" s="5">
        <v>557</v>
      </c>
      <c r="G32" s="162">
        <v>232</v>
      </c>
      <c r="H32" s="162">
        <v>46.4</v>
      </c>
      <c r="I32" s="49">
        <v>3567.69</v>
      </c>
      <c r="J32" s="49">
        <v>502.02000000000004</v>
      </c>
      <c r="K32" s="5">
        <f t="shared" si="4"/>
        <v>3241.61</v>
      </c>
      <c r="L32" s="5">
        <f t="shared" si="5"/>
        <v>3335.69</v>
      </c>
      <c r="M32" s="5">
        <f t="shared" si="6"/>
        <v>3010.69</v>
      </c>
      <c r="N32" s="5">
        <f t="shared" si="10"/>
        <v>455.62000000000006</v>
      </c>
      <c r="O32" s="58">
        <f t="shared" si="0"/>
        <v>10.941149411187439</v>
      </c>
      <c r="P32" s="58">
        <f t="shared" si="1"/>
        <v>15.377974137931036</v>
      </c>
      <c r="Q32" s="58">
        <f t="shared" si="2"/>
        <v>6.405188509874327</v>
      </c>
      <c r="R32" s="123">
        <f t="shared" si="7"/>
        <v>0</v>
      </c>
      <c r="S32" s="123">
        <f t="shared" si="3"/>
        <v>0</v>
      </c>
      <c r="T32" s="6">
        <v>3538.52</v>
      </c>
      <c r="U32" s="6">
        <v>472.85</v>
      </c>
      <c r="V32" s="102">
        <v>29.17</v>
      </c>
      <c r="W32" s="12">
        <f t="shared" si="12"/>
        <v>3567.69</v>
      </c>
      <c r="X32" s="12">
        <f t="shared" si="13"/>
        <v>502.02000000000004</v>
      </c>
      <c r="Y32" s="2"/>
    </row>
    <row r="33" spans="1:25" ht="15.75">
      <c r="A33" s="203"/>
      <c r="B33" s="189"/>
      <c r="C33" s="137" t="s">
        <v>56</v>
      </c>
      <c r="D33" s="16" t="s">
        <v>57</v>
      </c>
      <c r="E33" s="9">
        <f>E34+E36+E35</f>
        <v>25914.45</v>
      </c>
      <c r="F33" s="9">
        <f>F34+F36+F35</f>
        <v>200264</v>
      </c>
      <c r="G33" s="163">
        <f>G34+G36+G35</f>
        <v>145730.69999999998</v>
      </c>
      <c r="H33" s="163">
        <f>H34+H36+H35</f>
        <v>4580.799999999999</v>
      </c>
      <c r="I33" s="163">
        <v>145229.69</v>
      </c>
      <c r="J33" s="163">
        <v>1914.1499999999999</v>
      </c>
      <c r="K33" s="18">
        <f t="shared" si="4"/>
        <v>119315.24</v>
      </c>
      <c r="L33" s="18">
        <f t="shared" si="5"/>
        <v>-501.0099999999802</v>
      </c>
      <c r="M33" s="18">
        <f t="shared" si="6"/>
        <v>-55034.31</v>
      </c>
      <c r="N33" s="18">
        <f t="shared" si="10"/>
        <v>-2666.6499999999996</v>
      </c>
      <c r="O33" s="58">
        <f t="shared" si="0"/>
        <v>5.604197272178263</v>
      </c>
      <c r="P33" s="58">
        <f t="shared" si="1"/>
        <v>0.9965620833496307</v>
      </c>
      <c r="Q33" s="58">
        <f t="shared" si="2"/>
        <v>0.7251911976191427</v>
      </c>
      <c r="R33" s="123">
        <f t="shared" si="7"/>
        <v>0</v>
      </c>
      <c r="S33" s="123">
        <f t="shared" si="3"/>
        <v>0</v>
      </c>
      <c r="T33" s="80">
        <f>T34+T35+T36</f>
        <v>144882.62</v>
      </c>
      <c r="U33" s="80">
        <f>U34+U35+U36</f>
        <v>1567.08</v>
      </c>
      <c r="V33" s="80">
        <f>V34+V35+V36</f>
        <v>347.07</v>
      </c>
      <c r="W33" s="12">
        <f t="shared" si="12"/>
        <v>145229.69</v>
      </c>
      <c r="X33" s="12">
        <f t="shared" si="13"/>
        <v>1914.1499999999999</v>
      </c>
      <c r="Y33" s="2"/>
    </row>
    <row r="34" spans="1:25" ht="15.75">
      <c r="A34" s="203"/>
      <c r="B34" s="189"/>
      <c r="C34" s="138" t="s">
        <v>128</v>
      </c>
      <c r="D34" s="19" t="s">
        <v>58</v>
      </c>
      <c r="E34" s="51">
        <v>12990.88</v>
      </c>
      <c r="F34" s="174">
        <f>48594.6+85630.3+29092.9</f>
        <v>163317.8</v>
      </c>
      <c r="G34" s="174">
        <v>132346.6</v>
      </c>
      <c r="H34" s="174">
        <v>2527.6</v>
      </c>
      <c r="I34" s="51">
        <v>129259.32</v>
      </c>
      <c r="J34" s="51">
        <v>200</v>
      </c>
      <c r="K34" s="20">
        <f t="shared" si="4"/>
        <v>116268.44</v>
      </c>
      <c r="L34" s="20">
        <f t="shared" si="5"/>
        <v>-3087.279999999999</v>
      </c>
      <c r="M34" s="20">
        <f t="shared" si="6"/>
        <v>-34058.47999999998</v>
      </c>
      <c r="N34" s="20">
        <f t="shared" si="10"/>
        <v>-2327.6</v>
      </c>
      <c r="O34" s="58">
        <f t="shared" si="0"/>
        <v>9.950004926533076</v>
      </c>
      <c r="P34" s="58">
        <f t="shared" si="1"/>
        <v>0.9766727668107832</v>
      </c>
      <c r="Q34" s="58">
        <f t="shared" si="2"/>
        <v>0.7914588611896561</v>
      </c>
      <c r="R34" s="123">
        <f t="shared" si="7"/>
        <v>0</v>
      </c>
      <c r="S34" s="123">
        <f t="shared" si="3"/>
        <v>0</v>
      </c>
      <c r="T34" s="21">
        <v>129259.32</v>
      </c>
      <c r="U34" s="21">
        <v>200</v>
      </c>
      <c r="V34" s="103"/>
      <c r="W34" s="12">
        <f t="shared" si="12"/>
        <v>129259.32</v>
      </c>
      <c r="X34" s="12">
        <f t="shared" si="13"/>
        <v>200</v>
      </c>
      <c r="Y34" s="7"/>
    </row>
    <row r="35" spans="1:25" ht="15.75">
      <c r="A35" s="203"/>
      <c r="B35" s="189"/>
      <c r="C35" s="138" t="s">
        <v>129</v>
      </c>
      <c r="D35" s="19" t="s">
        <v>59</v>
      </c>
      <c r="E35" s="51">
        <v>1307.34</v>
      </c>
      <c r="F35" s="174">
        <v>1867.8</v>
      </c>
      <c r="G35" s="174">
        <v>160.3</v>
      </c>
      <c r="H35" s="174">
        <v>0</v>
      </c>
      <c r="I35" s="51">
        <v>560</v>
      </c>
      <c r="J35" s="51">
        <v>0</v>
      </c>
      <c r="K35" s="20">
        <f t="shared" si="4"/>
        <v>-747.3399999999999</v>
      </c>
      <c r="L35" s="20">
        <f t="shared" si="5"/>
        <v>399.7</v>
      </c>
      <c r="M35" s="20">
        <f t="shared" si="6"/>
        <v>-1307.8</v>
      </c>
      <c r="N35" s="20">
        <f t="shared" si="10"/>
        <v>0</v>
      </c>
      <c r="O35" s="58">
        <f t="shared" si="0"/>
        <v>0.4283506968347943</v>
      </c>
      <c r="P35" s="58">
        <f t="shared" si="1"/>
        <v>3.4934497816593884</v>
      </c>
      <c r="Q35" s="58">
        <f t="shared" si="2"/>
        <v>0.29981796766249064</v>
      </c>
      <c r="R35" s="123">
        <f t="shared" si="7"/>
        <v>0</v>
      </c>
      <c r="S35" s="123">
        <f t="shared" si="3"/>
        <v>0</v>
      </c>
      <c r="T35" s="21">
        <v>560</v>
      </c>
      <c r="U35" s="21"/>
      <c r="V35" s="103"/>
      <c r="W35" s="12">
        <f t="shared" si="12"/>
        <v>560</v>
      </c>
      <c r="X35" s="12">
        <f t="shared" si="13"/>
        <v>0</v>
      </c>
      <c r="Y35" s="7"/>
    </row>
    <row r="36" spans="1:25" ht="15.75">
      <c r="A36" s="203"/>
      <c r="B36" s="189"/>
      <c r="C36" s="138" t="s">
        <v>127</v>
      </c>
      <c r="D36" s="19" t="s">
        <v>60</v>
      </c>
      <c r="E36" s="40">
        <v>11616.23</v>
      </c>
      <c r="F36" s="9">
        <f>35078.4+85630.3-85630.3</f>
        <v>35078.40000000001</v>
      </c>
      <c r="G36" s="163">
        <v>13223.8</v>
      </c>
      <c r="H36" s="163">
        <v>2053.2</v>
      </c>
      <c r="I36" s="40">
        <v>15410.369999999999</v>
      </c>
      <c r="J36" s="51">
        <v>1714.1499999999999</v>
      </c>
      <c r="K36" s="20">
        <f t="shared" si="4"/>
        <v>3794.1399999999994</v>
      </c>
      <c r="L36" s="20">
        <f t="shared" si="5"/>
        <v>2186.5699999999997</v>
      </c>
      <c r="M36" s="20">
        <f t="shared" si="6"/>
        <v>-19668.03000000001</v>
      </c>
      <c r="N36" s="20">
        <f t="shared" si="10"/>
        <v>-339.04999999999995</v>
      </c>
      <c r="O36" s="58">
        <f t="shared" si="0"/>
        <v>1.3266240423958546</v>
      </c>
      <c r="P36" s="58">
        <f t="shared" si="1"/>
        <v>1.1653511093634206</v>
      </c>
      <c r="Q36" s="58">
        <f t="shared" si="2"/>
        <v>0.43931222632731237</v>
      </c>
      <c r="R36" s="123">
        <f t="shared" si="7"/>
        <v>0</v>
      </c>
      <c r="S36" s="123">
        <f t="shared" si="3"/>
        <v>0</v>
      </c>
      <c r="T36" s="21">
        <v>15063.3</v>
      </c>
      <c r="U36" s="21">
        <v>1367.08</v>
      </c>
      <c r="V36" s="103">
        <v>347.07</v>
      </c>
      <c r="W36" s="12">
        <f t="shared" si="12"/>
        <v>15410.369999999999</v>
      </c>
      <c r="X36" s="12">
        <f t="shared" si="13"/>
        <v>1714.1499999999999</v>
      </c>
      <c r="Y36" s="7"/>
    </row>
    <row r="37" spans="1:25" ht="15.75">
      <c r="A37" s="203"/>
      <c r="B37" s="203"/>
      <c r="C37" s="136"/>
      <c r="D37" s="79" t="s">
        <v>12</v>
      </c>
      <c r="E37" s="40">
        <f>SUM(E30:E33)</f>
        <v>51486.950000000004</v>
      </c>
      <c r="F37" s="40">
        <f>SUM(F30:F33)</f>
        <v>301398.7</v>
      </c>
      <c r="G37" s="182">
        <f>SUM(G30:G33)</f>
        <v>183962.69999999998</v>
      </c>
      <c r="H37" s="182">
        <f>SUM(H30:H33)</f>
        <v>13127.199999999999</v>
      </c>
      <c r="I37" s="182">
        <f>SUM(I30:I33)</f>
        <v>179918.78</v>
      </c>
      <c r="J37" s="182">
        <f>SUM(J30:J33)</f>
        <v>3740.0599999999995</v>
      </c>
      <c r="K37" s="40">
        <f t="shared" si="4"/>
        <v>128431.82999999999</v>
      </c>
      <c r="L37" s="40">
        <f t="shared" si="5"/>
        <v>-4043.9199999999837</v>
      </c>
      <c r="M37" s="40">
        <f t="shared" si="6"/>
        <v>-121479.92000000001</v>
      </c>
      <c r="N37" s="40">
        <f t="shared" si="10"/>
        <v>-9387.14</v>
      </c>
      <c r="O37" s="78">
        <f aca="true" t="shared" si="15" ref="O37:O68">_xlfn.IFERROR(I37/E37,"")</f>
        <v>3.4944540315555686</v>
      </c>
      <c r="P37" s="78">
        <f aca="true" t="shared" si="16" ref="P37:P68">_xlfn.IFERROR(I37/G37,"")</f>
        <v>0.9780177177221253</v>
      </c>
      <c r="Q37" s="78">
        <f aca="true" t="shared" si="17" ref="Q37:Q68">_xlfn.IFERROR(I37/F37,"")</f>
        <v>0.5969461049433856</v>
      </c>
      <c r="R37" s="123">
        <f aca="true" t="shared" si="18" ref="R37:R68">W37-I37</f>
        <v>0</v>
      </c>
      <c r="S37" s="123">
        <f aca="true" t="shared" si="19" ref="S37:S68">X37-J37</f>
        <v>0</v>
      </c>
      <c r="T37" s="77">
        <f>SUM(T31:T33)</f>
        <v>179410.68</v>
      </c>
      <c r="U37" s="77">
        <f>SUM(U31:U33)</f>
        <v>3231.96</v>
      </c>
      <c r="V37" s="77">
        <f>SUM(V31:V33)</f>
        <v>508.1</v>
      </c>
      <c r="W37" s="12">
        <f t="shared" si="12"/>
        <v>179918.78</v>
      </c>
      <c r="X37" s="12">
        <f t="shared" si="13"/>
        <v>3740.06</v>
      </c>
      <c r="Y37" s="7"/>
    </row>
    <row r="38" spans="1:25" ht="31.5">
      <c r="A38" s="203" t="s">
        <v>109</v>
      </c>
      <c r="B38" s="189" t="s">
        <v>22</v>
      </c>
      <c r="C38" s="137" t="s">
        <v>142</v>
      </c>
      <c r="D38" s="16" t="s">
        <v>62</v>
      </c>
      <c r="E38" s="50">
        <v>114644.82</v>
      </c>
      <c r="F38" s="9">
        <v>326627.4</v>
      </c>
      <c r="G38" s="9">
        <v>122200.5</v>
      </c>
      <c r="H38" s="9">
        <v>7400</v>
      </c>
      <c r="I38" s="50">
        <v>101068.66</v>
      </c>
      <c r="J38" s="50">
        <v>-1359.2</v>
      </c>
      <c r="K38" s="18">
        <f t="shared" si="4"/>
        <v>-13576.160000000003</v>
      </c>
      <c r="L38" s="18">
        <f t="shared" si="5"/>
        <v>-21131.839999999997</v>
      </c>
      <c r="M38" s="18">
        <f t="shared" si="6"/>
        <v>-225558.74000000002</v>
      </c>
      <c r="N38" s="18">
        <f t="shared" si="10"/>
        <v>-8759.2</v>
      </c>
      <c r="O38" s="58">
        <f t="shared" si="15"/>
        <v>0.8815806941822578</v>
      </c>
      <c r="P38" s="58">
        <f t="shared" si="16"/>
        <v>0.827072393320813</v>
      </c>
      <c r="Q38" s="58">
        <f t="shared" si="17"/>
        <v>0.30943105201829363</v>
      </c>
      <c r="R38" s="123">
        <f t="shared" si="18"/>
        <v>0</v>
      </c>
      <c r="S38" s="123">
        <f t="shared" si="19"/>
        <v>0</v>
      </c>
      <c r="T38" s="11">
        <v>101309.47</v>
      </c>
      <c r="U38" s="11">
        <v>-1118.39</v>
      </c>
      <c r="V38" s="63">
        <v>-240.81</v>
      </c>
      <c r="W38" s="12">
        <f t="shared" si="12"/>
        <v>101068.66</v>
      </c>
      <c r="X38" s="12">
        <f t="shared" si="13"/>
        <v>-1359.2</v>
      </c>
      <c r="Y38" s="2"/>
    </row>
    <row r="39" spans="1:25" ht="15.75">
      <c r="A39" s="203"/>
      <c r="B39" s="189"/>
      <c r="C39" s="137" t="s">
        <v>139</v>
      </c>
      <c r="D39" s="16" t="s">
        <v>63</v>
      </c>
      <c r="E39" s="50">
        <v>41981.09</v>
      </c>
      <c r="F39" s="9">
        <f>245061.4+9204.6</f>
        <v>254266</v>
      </c>
      <c r="G39" s="9">
        <v>87104.6</v>
      </c>
      <c r="H39" s="9">
        <v>30600</v>
      </c>
      <c r="I39" s="50">
        <v>144788.15</v>
      </c>
      <c r="J39" s="50">
        <v>111.55</v>
      </c>
      <c r="K39" s="18">
        <f t="shared" si="4"/>
        <v>102807.06</v>
      </c>
      <c r="L39" s="18">
        <f t="shared" si="5"/>
        <v>57683.54999999999</v>
      </c>
      <c r="M39" s="18">
        <f t="shared" si="6"/>
        <v>-109477.85</v>
      </c>
      <c r="N39" s="18">
        <f t="shared" si="10"/>
        <v>-30488.45</v>
      </c>
      <c r="O39" s="58">
        <f t="shared" si="15"/>
        <v>3.4488897263029616</v>
      </c>
      <c r="P39" s="58">
        <f t="shared" si="16"/>
        <v>1.662233108239978</v>
      </c>
      <c r="Q39" s="58">
        <f t="shared" si="17"/>
        <v>0.5694357483894819</v>
      </c>
      <c r="R39" s="123">
        <f t="shared" si="18"/>
        <v>0</v>
      </c>
      <c r="S39" s="123">
        <f t="shared" si="19"/>
        <v>0</v>
      </c>
      <c r="T39" s="11">
        <v>144649.15</v>
      </c>
      <c r="U39" s="11">
        <v>-27.45</v>
      </c>
      <c r="V39" s="63">
        <v>139</v>
      </c>
      <c r="W39" s="12">
        <f t="shared" si="12"/>
        <v>144788.15</v>
      </c>
      <c r="X39" s="12">
        <f t="shared" si="13"/>
        <v>111.55</v>
      </c>
      <c r="Y39" s="2"/>
    </row>
    <row r="40" spans="1:25" ht="31.5">
      <c r="A40" s="203"/>
      <c r="B40" s="189"/>
      <c r="C40" s="134" t="s">
        <v>145</v>
      </c>
      <c r="D40" s="13" t="s">
        <v>64</v>
      </c>
      <c r="E40" s="50">
        <v>17213.41</v>
      </c>
      <c r="F40" s="9">
        <f>48566.2-5534.78</f>
        <v>43031.42</v>
      </c>
      <c r="G40" s="9">
        <v>15110</v>
      </c>
      <c r="H40" s="9">
        <v>770</v>
      </c>
      <c r="I40" s="50">
        <v>13300.26</v>
      </c>
      <c r="J40" s="50">
        <v>83.44</v>
      </c>
      <c r="K40" s="9">
        <f t="shared" si="4"/>
        <v>-3913.1499999999996</v>
      </c>
      <c r="L40" s="9">
        <f t="shared" si="5"/>
        <v>-1809.7399999999998</v>
      </c>
      <c r="M40" s="9">
        <f t="shared" si="6"/>
        <v>-29731.159999999996</v>
      </c>
      <c r="N40" s="9">
        <f t="shared" si="10"/>
        <v>-686.56</v>
      </c>
      <c r="O40" s="58">
        <f t="shared" si="15"/>
        <v>0.7726685183237952</v>
      </c>
      <c r="P40" s="58">
        <f t="shared" si="16"/>
        <v>0.880228987425546</v>
      </c>
      <c r="Q40" s="58">
        <f t="shared" si="17"/>
        <v>0.3090825262099183</v>
      </c>
      <c r="R40" s="123">
        <f t="shared" si="18"/>
        <v>0</v>
      </c>
      <c r="S40" s="123">
        <f t="shared" si="19"/>
        <v>0</v>
      </c>
      <c r="T40" s="11">
        <v>13293.59</v>
      </c>
      <c r="U40" s="11">
        <v>76.77</v>
      </c>
      <c r="V40" s="63">
        <v>6.67</v>
      </c>
      <c r="W40" s="12">
        <f t="shared" si="12"/>
        <v>13300.26</v>
      </c>
      <c r="X40" s="12">
        <f t="shared" si="13"/>
        <v>83.44</v>
      </c>
      <c r="Y40" s="2"/>
    </row>
    <row r="41" spans="1:25" s="54" customFormat="1" ht="25.5" customHeight="1">
      <c r="A41" s="204"/>
      <c r="B41" s="207"/>
      <c r="C41" s="139" t="s">
        <v>138</v>
      </c>
      <c r="D41" s="16" t="s">
        <v>63</v>
      </c>
      <c r="E41" s="50">
        <v>955.13</v>
      </c>
      <c r="F41" s="9"/>
      <c r="G41" s="9"/>
      <c r="H41" s="9"/>
      <c r="I41" s="50">
        <v>0</v>
      </c>
      <c r="J41" s="50">
        <v>0</v>
      </c>
      <c r="K41" s="9">
        <f t="shared" si="4"/>
        <v>-955.13</v>
      </c>
      <c r="L41" s="9">
        <f t="shared" si="5"/>
        <v>0</v>
      </c>
      <c r="M41" s="9">
        <f t="shared" si="6"/>
        <v>0</v>
      </c>
      <c r="N41" s="9">
        <f t="shared" si="10"/>
        <v>0</v>
      </c>
      <c r="O41" s="62">
        <f t="shared" si="15"/>
        <v>0</v>
      </c>
      <c r="P41" s="62">
        <f t="shared" si="16"/>
      </c>
      <c r="Q41" s="62">
        <f t="shared" si="17"/>
      </c>
      <c r="R41" s="123">
        <f t="shared" si="18"/>
        <v>0</v>
      </c>
      <c r="S41" s="123">
        <f t="shared" si="19"/>
        <v>0</v>
      </c>
      <c r="T41" s="11"/>
      <c r="U41" s="11"/>
      <c r="V41" s="63"/>
      <c r="W41" s="12">
        <f t="shared" si="12"/>
        <v>0</v>
      </c>
      <c r="X41" s="12">
        <f t="shared" si="13"/>
        <v>0</v>
      </c>
      <c r="Y41" s="2"/>
    </row>
    <row r="42" spans="1:25" ht="31.5">
      <c r="A42" s="205"/>
      <c r="B42" s="208"/>
      <c r="C42" s="140" t="s">
        <v>115</v>
      </c>
      <c r="D42" s="22" t="s">
        <v>116</v>
      </c>
      <c r="E42" s="50">
        <v>1458.1799999999998</v>
      </c>
      <c r="F42" s="9">
        <v>2948.3</v>
      </c>
      <c r="G42" s="9">
        <v>1412.3</v>
      </c>
      <c r="H42" s="9">
        <v>0</v>
      </c>
      <c r="I42" s="50">
        <v>1775.69</v>
      </c>
      <c r="J42" s="50">
        <v>-36.97</v>
      </c>
      <c r="K42" s="9">
        <f t="shared" si="4"/>
        <v>317.5100000000002</v>
      </c>
      <c r="L42" s="9">
        <f t="shared" si="5"/>
        <v>363.3900000000001</v>
      </c>
      <c r="M42" s="9">
        <f t="shared" si="6"/>
        <v>-1172.6100000000001</v>
      </c>
      <c r="N42" s="9">
        <f t="shared" si="10"/>
        <v>-36.97</v>
      </c>
      <c r="O42" s="58">
        <f t="shared" si="15"/>
        <v>1.2177440370873283</v>
      </c>
      <c r="P42" s="58">
        <f t="shared" si="16"/>
        <v>1.2573036890179141</v>
      </c>
      <c r="Q42" s="58">
        <f t="shared" si="17"/>
        <v>0.6022758877997489</v>
      </c>
      <c r="R42" s="123">
        <f t="shared" si="18"/>
        <v>0</v>
      </c>
      <c r="S42" s="123">
        <f t="shared" si="19"/>
        <v>0</v>
      </c>
      <c r="T42" s="11">
        <v>1812.66</v>
      </c>
      <c r="U42" s="11"/>
      <c r="V42" s="63">
        <v>-36.97</v>
      </c>
      <c r="W42" s="12">
        <f t="shared" si="12"/>
        <v>1775.69</v>
      </c>
      <c r="X42" s="12">
        <f t="shared" si="13"/>
        <v>-36.97</v>
      </c>
      <c r="Y42" s="2"/>
    </row>
    <row r="43" spans="1:25" ht="15.75">
      <c r="A43" s="206"/>
      <c r="B43" s="209"/>
      <c r="C43" s="141" t="s">
        <v>131</v>
      </c>
      <c r="D43" s="23" t="s">
        <v>130</v>
      </c>
      <c r="E43" s="50">
        <v>64.59</v>
      </c>
      <c r="F43" s="9"/>
      <c r="G43" s="9"/>
      <c r="H43" s="9"/>
      <c r="I43" s="50">
        <v>82.12</v>
      </c>
      <c r="J43" s="50">
        <v>36.97</v>
      </c>
      <c r="K43" s="9">
        <f t="shared" si="4"/>
        <v>17.53</v>
      </c>
      <c r="L43" s="9">
        <f t="shared" si="5"/>
        <v>82.12</v>
      </c>
      <c r="M43" s="9">
        <f t="shared" si="6"/>
        <v>82.12</v>
      </c>
      <c r="N43" s="9">
        <f t="shared" si="10"/>
        <v>36.97</v>
      </c>
      <c r="O43" s="58">
        <f t="shared" si="15"/>
        <v>1.2714042421427465</v>
      </c>
      <c r="P43" s="58">
        <f t="shared" si="16"/>
      </c>
      <c r="Q43" s="58">
        <f t="shared" si="17"/>
      </c>
      <c r="R43" s="123">
        <f t="shared" si="18"/>
        <v>0</v>
      </c>
      <c r="S43" s="123">
        <f t="shared" si="19"/>
        <v>0</v>
      </c>
      <c r="T43" s="11">
        <v>45.15</v>
      </c>
      <c r="U43" s="11"/>
      <c r="V43" s="104">
        <v>36.97</v>
      </c>
      <c r="W43" s="12">
        <f t="shared" si="12"/>
        <v>82.12</v>
      </c>
      <c r="X43" s="12">
        <f t="shared" si="13"/>
        <v>36.97</v>
      </c>
      <c r="Y43" s="2"/>
    </row>
    <row r="44" spans="1:25" ht="27.75" customHeight="1">
      <c r="A44" s="203"/>
      <c r="B44" s="189"/>
      <c r="C44" s="137" t="s">
        <v>65</v>
      </c>
      <c r="D44" s="16" t="s">
        <v>66</v>
      </c>
      <c r="E44" s="50">
        <v>59452.3</v>
      </c>
      <c r="F44" s="5">
        <v>104142</v>
      </c>
      <c r="G44" s="5">
        <v>34840</v>
      </c>
      <c r="H44" s="5">
        <v>9600</v>
      </c>
      <c r="I44" s="50">
        <v>76584.147</v>
      </c>
      <c r="J44" s="50">
        <v>19028.457</v>
      </c>
      <c r="K44" s="5">
        <f t="shared" si="4"/>
        <v>17131.846999999994</v>
      </c>
      <c r="L44" s="5">
        <f t="shared" si="5"/>
        <v>41744.147</v>
      </c>
      <c r="M44" s="5">
        <f t="shared" si="6"/>
        <v>-27557.853000000003</v>
      </c>
      <c r="N44" s="5">
        <f t="shared" si="10"/>
        <v>9428.456999999999</v>
      </c>
      <c r="O44" s="58">
        <f t="shared" si="15"/>
        <v>1.2881612149572008</v>
      </c>
      <c r="P44" s="58">
        <f t="shared" si="16"/>
        <v>2.1981672502870264</v>
      </c>
      <c r="Q44" s="58">
        <f t="shared" si="17"/>
        <v>0.735381949645676</v>
      </c>
      <c r="R44" s="123">
        <f t="shared" si="18"/>
        <v>0</v>
      </c>
      <c r="S44" s="123">
        <f t="shared" si="19"/>
        <v>0</v>
      </c>
      <c r="T44" s="11">
        <v>76662.72</v>
      </c>
      <c r="U44" s="11">
        <v>19107.03</v>
      </c>
      <c r="V44" s="63">
        <v>-78.573</v>
      </c>
      <c r="W44" s="12">
        <f t="shared" si="12"/>
        <v>76584.147</v>
      </c>
      <c r="X44" s="12">
        <f t="shared" si="13"/>
        <v>19028.457</v>
      </c>
      <c r="Y44" s="2"/>
    </row>
    <row r="45" spans="1:25" s="54" customFormat="1" ht="18" customHeight="1" hidden="1">
      <c r="A45" s="203"/>
      <c r="B45" s="189"/>
      <c r="C45" s="137" t="s">
        <v>67</v>
      </c>
      <c r="D45" s="148" t="s">
        <v>68</v>
      </c>
      <c r="F45" s="5">
        <v>0</v>
      </c>
      <c r="G45" s="5"/>
      <c r="H45" s="5"/>
      <c r="I45" s="50">
        <v>0</v>
      </c>
      <c r="J45" s="50">
        <v>0</v>
      </c>
      <c r="K45" s="5">
        <f>I45-E46</f>
        <v>-15594.75</v>
      </c>
      <c r="L45" s="5">
        <f t="shared" si="5"/>
        <v>0</v>
      </c>
      <c r="M45" s="5">
        <f t="shared" si="6"/>
        <v>0</v>
      </c>
      <c r="N45" s="5">
        <f t="shared" si="10"/>
        <v>0</v>
      </c>
      <c r="O45" s="62">
        <f>_xlfn.IFERROR(I45/E46,"")</f>
        <v>0</v>
      </c>
      <c r="P45" s="62">
        <f t="shared" si="16"/>
      </c>
      <c r="Q45" s="62">
        <f t="shared" si="17"/>
      </c>
      <c r="R45" s="123">
        <f t="shared" si="18"/>
        <v>0</v>
      </c>
      <c r="S45" s="123">
        <f t="shared" si="19"/>
        <v>0</v>
      </c>
      <c r="T45" s="11"/>
      <c r="U45" s="11"/>
      <c r="V45" s="63"/>
      <c r="W45" s="12">
        <f t="shared" si="12"/>
        <v>0</v>
      </c>
      <c r="X45" s="12">
        <f>U45+V45</f>
        <v>0</v>
      </c>
      <c r="Y45" s="2">
        <v>1</v>
      </c>
    </row>
    <row r="46" spans="1:25" ht="27.75" customHeight="1">
      <c r="A46" s="203"/>
      <c r="B46" s="189"/>
      <c r="C46" s="137" t="s">
        <v>69</v>
      </c>
      <c r="D46" s="16" t="s">
        <v>70</v>
      </c>
      <c r="E46" s="50">
        <v>15594.75</v>
      </c>
      <c r="F46" s="5">
        <v>45272.2</v>
      </c>
      <c r="G46" s="5">
        <v>10300</v>
      </c>
      <c r="H46" s="5">
        <v>2500</v>
      </c>
      <c r="I46" s="49">
        <v>26325.899999999998</v>
      </c>
      <c r="J46" s="49">
        <v>2286.73</v>
      </c>
      <c r="K46" s="49">
        <v>5230.72</v>
      </c>
      <c r="L46" s="5">
        <f t="shared" si="5"/>
        <v>16025.899999999998</v>
      </c>
      <c r="M46" s="5">
        <f t="shared" si="6"/>
        <v>-18946.3</v>
      </c>
      <c r="N46" s="5">
        <f t="shared" si="10"/>
        <v>-213.26999999999998</v>
      </c>
      <c r="O46" s="58">
        <f>_xlfn.IFERROR(I46/#REF!,"")</f>
      </c>
      <c r="P46" s="58">
        <f t="shared" si="16"/>
        <v>2.555912621359223</v>
      </c>
      <c r="Q46" s="58">
        <f t="shared" si="17"/>
        <v>0.5815025556522546</v>
      </c>
      <c r="R46" s="123">
        <f t="shared" si="18"/>
        <v>0</v>
      </c>
      <c r="S46" s="123">
        <f t="shared" si="19"/>
        <v>0</v>
      </c>
      <c r="T46" s="6">
        <v>25529.55</v>
      </c>
      <c r="U46" s="6">
        <v>1490.38</v>
      </c>
      <c r="V46" s="63">
        <v>796.35</v>
      </c>
      <c r="W46" s="12">
        <f t="shared" si="12"/>
        <v>26325.899999999998</v>
      </c>
      <c r="X46" s="12">
        <f>U46+V46</f>
        <v>2286.73</v>
      </c>
      <c r="Y46" s="2"/>
    </row>
    <row r="47" spans="1:25" ht="15.75">
      <c r="A47" s="203"/>
      <c r="B47" s="203"/>
      <c r="C47" s="142"/>
      <c r="D47" s="79" t="s">
        <v>12</v>
      </c>
      <c r="E47" s="40">
        <f>SUM(E38:E46)</f>
        <v>251364.27000000002</v>
      </c>
      <c r="F47" s="40">
        <f>SUM(F38:F46)</f>
        <v>776287.3200000001</v>
      </c>
      <c r="G47" s="182">
        <f>SUM(G38:G46)</f>
        <v>270967.4</v>
      </c>
      <c r="H47" s="182">
        <f>SUM(H38:H46)</f>
        <v>50870</v>
      </c>
      <c r="I47" s="182">
        <f>SUM(I38:I46)</f>
        <v>363924.927</v>
      </c>
      <c r="J47" s="182">
        <f>SUM(J38:J46)</f>
        <v>20150.977</v>
      </c>
      <c r="K47" s="40">
        <f t="shared" si="4"/>
        <v>112560.657</v>
      </c>
      <c r="L47" s="40">
        <f t="shared" si="5"/>
        <v>92957.527</v>
      </c>
      <c r="M47" s="40">
        <f t="shared" si="6"/>
        <v>-412362.39300000004</v>
      </c>
      <c r="N47" s="40">
        <f t="shared" si="10"/>
        <v>-30719.023</v>
      </c>
      <c r="O47" s="58">
        <f t="shared" si="15"/>
        <v>1.4477989532879911</v>
      </c>
      <c r="P47" s="58">
        <f t="shared" si="16"/>
        <v>1.3430579730255374</v>
      </c>
      <c r="Q47" s="58">
        <f t="shared" si="17"/>
        <v>0.4688018438842979</v>
      </c>
      <c r="R47" s="124">
        <f t="shared" si="18"/>
        <v>0</v>
      </c>
      <c r="S47" s="124">
        <f t="shared" si="19"/>
        <v>0</v>
      </c>
      <c r="T47" s="77">
        <f>SUM(T38:T46)</f>
        <v>363302.29</v>
      </c>
      <c r="U47" s="77">
        <f>SUM(U38:U46)</f>
        <v>19528.34</v>
      </c>
      <c r="V47" s="77">
        <f>SUM(V38:V46)</f>
        <v>622.637</v>
      </c>
      <c r="W47" s="12">
        <f t="shared" si="12"/>
        <v>363924.92699999997</v>
      </c>
      <c r="X47" s="12">
        <f t="shared" si="13"/>
        <v>20150.977</v>
      </c>
      <c r="Y47" s="7"/>
    </row>
    <row r="48" spans="1:25" ht="15.75">
      <c r="A48" s="203" t="s">
        <v>71</v>
      </c>
      <c r="B48" s="189" t="s">
        <v>72</v>
      </c>
      <c r="C48" s="134" t="s">
        <v>43</v>
      </c>
      <c r="D48" s="13" t="s">
        <v>44</v>
      </c>
      <c r="E48" s="49">
        <v>8187.13</v>
      </c>
      <c r="F48" s="5">
        <v>4487</v>
      </c>
      <c r="G48" s="162">
        <v>4487</v>
      </c>
      <c r="H48" s="162">
        <v>0</v>
      </c>
      <c r="I48" s="49">
        <v>2731.14</v>
      </c>
      <c r="J48" s="49">
        <v>0</v>
      </c>
      <c r="K48" s="14">
        <f t="shared" si="4"/>
        <v>-5455.99</v>
      </c>
      <c r="L48" s="14">
        <f t="shared" si="5"/>
        <v>-1755.8600000000001</v>
      </c>
      <c r="M48" s="14">
        <f t="shared" si="6"/>
        <v>-1755.8600000000001</v>
      </c>
      <c r="N48" s="14">
        <f t="shared" si="10"/>
        <v>0</v>
      </c>
      <c r="O48" s="58">
        <f t="shared" si="15"/>
        <v>0.3335894263313273</v>
      </c>
      <c r="P48" s="58">
        <f t="shared" si="16"/>
        <v>0.6086784042790283</v>
      </c>
      <c r="Q48" s="58">
        <f t="shared" si="17"/>
        <v>0.6086784042790283</v>
      </c>
      <c r="R48" s="123">
        <f t="shared" si="18"/>
        <v>0</v>
      </c>
      <c r="S48" s="123">
        <f t="shared" si="19"/>
        <v>0</v>
      </c>
      <c r="T48" s="6">
        <v>2731.14</v>
      </c>
      <c r="U48" s="6">
        <v>0</v>
      </c>
      <c r="V48" s="102"/>
      <c r="W48" s="12">
        <f t="shared" si="12"/>
        <v>2731.14</v>
      </c>
      <c r="X48" s="12">
        <f t="shared" si="13"/>
        <v>0</v>
      </c>
      <c r="Y48" s="2"/>
    </row>
    <row r="49" spans="1:25" ht="15.75">
      <c r="A49" s="203"/>
      <c r="B49" s="189"/>
      <c r="C49" s="142"/>
      <c r="D49" s="81" t="s">
        <v>12</v>
      </c>
      <c r="E49" s="40">
        <f>E48</f>
        <v>8187.13</v>
      </c>
      <c r="F49" s="82">
        <f>SUM(F48:F48)</f>
        <v>4487</v>
      </c>
      <c r="G49" s="183">
        <f>SUM(G48:G48)</f>
        <v>4487</v>
      </c>
      <c r="H49" s="183">
        <f>SUM(H48:H48)</f>
        <v>0</v>
      </c>
      <c r="I49" s="183">
        <v>2731.14</v>
      </c>
      <c r="J49" s="183">
        <v>0</v>
      </c>
      <c r="K49" s="83">
        <f t="shared" si="4"/>
        <v>-5455.99</v>
      </c>
      <c r="L49" s="83">
        <f t="shared" si="5"/>
        <v>-1755.8600000000001</v>
      </c>
      <c r="M49" s="83">
        <f t="shared" si="6"/>
        <v>-1755.8600000000001</v>
      </c>
      <c r="N49" s="83">
        <f t="shared" si="10"/>
        <v>0</v>
      </c>
      <c r="O49" s="58">
        <f t="shared" si="15"/>
        <v>0.3335894263313273</v>
      </c>
      <c r="P49" s="58">
        <f t="shared" si="16"/>
        <v>0.6086784042790283</v>
      </c>
      <c r="Q49" s="58">
        <f t="shared" si="17"/>
        <v>0.6086784042790283</v>
      </c>
      <c r="R49" s="124">
        <f t="shared" si="18"/>
        <v>0</v>
      </c>
      <c r="S49" s="124">
        <f t="shared" si="19"/>
        <v>0</v>
      </c>
      <c r="T49" s="84">
        <f>SUM(T48:T48)</f>
        <v>2731.14</v>
      </c>
      <c r="U49" s="84">
        <v>0</v>
      </c>
      <c r="V49" s="84">
        <f>SUM(V48:V48)</f>
        <v>0</v>
      </c>
      <c r="W49" s="12">
        <f t="shared" si="12"/>
        <v>2731.14</v>
      </c>
      <c r="X49" s="12">
        <f t="shared" si="13"/>
        <v>0</v>
      </c>
      <c r="Y49" s="7"/>
    </row>
    <row r="50" spans="1:25" s="54" customFormat="1" ht="15.75" hidden="1">
      <c r="A50" s="194" t="s">
        <v>74</v>
      </c>
      <c r="B50" s="197" t="s">
        <v>111</v>
      </c>
      <c r="C50" s="134" t="s">
        <v>43</v>
      </c>
      <c r="D50" s="149" t="s">
        <v>44</v>
      </c>
      <c r="E50" s="49"/>
      <c r="F50" s="65"/>
      <c r="G50" s="184"/>
      <c r="H50" s="184"/>
      <c r="I50" s="49">
        <v>0</v>
      </c>
      <c r="J50" s="49">
        <v>0</v>
      </c>
      <c r="K50" s="114">
        <f t="shared" si="4"/>
        <v>0</v>
      </c>
      <c r="L50" s="114">
        <f t="shared" si="5"/>
        <v>0</v>
      </c>
      <c r="M50" s="114">
        <f t="shared" si="6"/>
        <v>0</v>
      </c>
      <c r="N50" s="114">
        <f t="shared" si="10"/>
        <v>0</v>
      </c>
      <c r="O50" s="115">
        <f t="shared" si="15"/>
      </c>
      <c r="P50" s="115">
        <f t="shared" si="16"/>
      </c>
      <c r="Q50" s="115">
        <f t="shared" si="17"/>
      </c>
      <c r="R50" s="123">
        <f t="shared" si="18"/>
        <v>0</v>
      </c>
      <c r="S50" s="123">
        <f t="shared" si="19"/>
        <v>0</v>
      </c>
      <c r="T50" s="6"/>
      <c r="U50" s="6"/>
      <c r="V50" s="102"/>
      <c r="W50" s="12">
        <f t="shared" si="12"/>
        <v>0</v>
      </c>
      <c r="X50" s="12">
        <f t="shared" si="13"/>
        <v>0</v>
      </c>
      <c r="Y50" s="2">
        <v>1</v>
      </c>
    </row>
    <row r="51" spans="1:25" ht="15.75">
      <c r="A51" s="194"/>
      <c r="B51" s="197"/>
      <c r="C51" s="143" t="s">
        <v>120</v>
      </c>
      <c r="D51" s="24" t="s">
        <v>144</v>
      </c>
      <c r="E51" s="49">
        <v>142693.95</v>
      </c>
      <c r="F51" s="162">
        <f>537127.7+16130.16</f>
        <v>553257.86</v>
      </c>
      <c r="G51" s="162">
        <v>225908.06</v>
      </c>
      <c r="H51" s="162">
        <v>42843.5</v>
      </c>
      <c r="I51" s="49">
        <v>208201.41</v>
      </c>
      <c r="J51" s="49">
        <v>14763.24</v>
      </c>
      <c r="K51" s="14">
        <f t="shared" si="4"/>
        <v>65507.45999999999</v>
      </c>
      <c r="L51" s="14">
        <f t="shared" si="5"/>
        <v>-17706.649999999994</v>
      </c>
      <c r="M51" s="14">
        <f t="shared" si="6"/>
        <v>-345056.44999999995</v>
      </c>
      <c r="N51" s="14">
        <f t="shared" si="10"/>
        <v>-28080.260000000002</v>
      </c>
      <c r="O51" s="58">
        <f t="shared" si="15"/>
        <v>1.4590766462067943</v>
      </c>
      <c r="P51" s="58">
        <f t="shared" si="16"/>
        <v>0.9216201050993931</v>
      </c>
      <c r="Q51" s="58">
        <f t="shared" si="17"/>
        <v>0.37631893743000777</v>
      </c>
      <c r="R51" s="123">
        <f t="shared" si="18"/>
        <v>0</v>
      </c>
      <c r="S51" s="123">
        <f t="shared" si="19"/>
        <v>0</v>
      </c>
      <c r="T51" s="6">
        <v>204115.65</v>
      </c>
      <c r="U51" s="6">
        <v>10677.48</v>
      </c>
      <c r="V51" s="102">
        <v>4085.76</v>
      </c>
      <c r="W51" s="12">
        <f t="shared" si="12"/>
        <v>208201.41</v>
      </c>
      <c r="X51" s="12">
        <f t="shared" si="13"/>
        <v>14763.24</v>
      </c>
      <c r="Y51" s="2"/>
    </row>
    <row r="52" spans="1:25" ht="15.75">
      <c r="A52" s="210"/>
      <c r="B52" s="211"/>
      <c r="C52" s="143" t="s">
        <v>121</v>
      </c>
      <c r="D52" s="24" t="s">
        <v>117</v>
      </c>
      <c r="E52" s="49">
        <v>96173.47</v>
      </c>
      <c r="F52" s="166">
        <f>354489-4173.5</f>
        <v>350315.5</v>
      </c>
      <c r="G52" s="166">
        <v>147550.6</v>
      </c>
      <c r="H52" s="166">
        <v>28688.9</v>
      </c>
      <c r="I52" s="49">
        <v>122700.4</v>
      </c>
      <c r="J52" s="49">
        <v>9411.05</v>
      </c>
      <c r="K52" s="25">
        <f t="shared" si="4"/>
        <v>26526.929999999993</v>
      </c>
      <c r="L52" s="25">
        <f t="shared" si="5"/>
        <v>-24850.20000000001</v>
      </c>
      <c r="M52" s="25">
        <f t="shared" si="6"/>
        <v>-227615.1</v>
      </c>
      <c r="N52" s="25">
        <f t="shared" si="10"/>
        <v>-19277.850000000002</v>
      </c>
      <c r="O52" s="58">
        <f t="shared" si="15"/>
        <v>1.2758237796764533</v>
      </c>
      <c r="P52" s="58">
        <f t="shared" si="16"/>
        <v>0.831581843787826</v>
      </c>
      <c r="Q52" s="58">
        <f t="shared" si="17"/>
        <v>0.3502568399057421</v>
      </c>
      <c r="R52" s="123">
        <f t="shared" si="18"/>
        <v>0</v>
      </c>
      <c r="S52" s="123">
        <f t="shared" si="19"/>
        <v>0</v>
      </c>
      <c r="T52" s="6">
        <v>120053.7</v>
      </c>
      <c r="U52" s="6">
        <v>6764.35</v>
      </c>
      <c r="V52" s="102">
        <v>2646.7</v>
      </c>
      <c r="W52" s="12">
        <f t="shared" si="12"/>
        <v>122700.4</v>
      </c>
      <c r="X52" s="12">
        <f t="shared" si="13"/>
        <v>9411.05</v>
      </c>
      <c r="Y52" s="2"/>
    </row>
    <row r="53" spans="1:25" ht="15.75">
      <c r="A53" s="194"/>
      <c r="B53" s="197"/>
      <c r="C53" s="143" t="s">
        <v>122</v>
      </c>
      <c r="D53" s="24" t="s">
        <v>118</v>
      </c>
      <c r="E53" s="49">
        <v>1251773.47</v>
      </c>
      <c r="F53" s="163">
        <f>3510723.4+35171.1+96433.35</f>
        <v>3642327.85</v>
      </c>
      <c r="G53" s="163">
        <v>1418198.25</v>
      </c>
      <c r="H53" s="163">
        <v>287662.9</v>
      </c>
      <c r="I53" s="49">
        <v>1357759.54</v>
      </c>
      <c r="J53" s="49">
        <v>134882.95</v>
      </c>
      <c r="K53" s="14">
        <f t="shared" si="4"/>
        <v>105986.07000000007</v>
      </c>
      <c r="L53" s="14">
        <f t="shared" si="5"/>
        <v>-60438.70999999996</v>
      </c>
      <c r="M53" s="14">
        <f t="shared" si="6"/>
        <v>-2284568.31</v>
      </c>
      <c r="N53" s="14">
        <f t="shared" si="10"/>
        <v>-152779.95</v>
      </c>
      <c r="O53" s="58">
        <f t="shared" si="15"/>
        <v>1.084668730037872</v>
      </c>
      <c r="P53" s="58">
        <f t="shared" si="16"/>
        <v>0.9573834546756774</v>
      </c>
      <c r="Q53" s="58">
        <f t="shared" si="17"/>
        <v>0.37277246747571063</v>
      </c>
      <c r="R53" s="123">
        <f t="shared" si="18"/>
        <v>0</v>
      </c>
      <c r="S53" s="123">
        <f t="shared" si="19"/>
        <v>0</v>
      </c>
      <c r="T53" s="6">
        <v>1341321.73</v>
      </c>
      <c r="U53" s="6">
        <v>118445.14</v>
      </c>
      <c r="V53" s="102">
        <v>16437.81</v>
      </c>
      <c r="W53" s="12">
        <f t="shared" si="12"/>
        <v>1357759.54</v>
      </c>
      <c r="X53" s="12">
        <f t="shared" si="13"/>
        <v>134882.95</v>
      </c>
      <c r="Y53" s="2"/>
    </row>
    <row r="54" spans="1:25" ht="15.75">
      <c r="A54" s="210"/>
      <c r="B54" s="211"/>
      <c r="C54" s="143" t="s">
        <v>140</v>
      </c>
      <c r="D54" s="24" t="s">
        <v>119</v>
      </c>
      <c r="E54" s="49">
        <v>1045.7</v>
      </c>
      <c r="F54" s="5"/>
      <c r="G54" s="162">
        <v>0</v>
      </c>
      <c r="H54" s="162"/>
      <c r="I54" s="49">
        <v>482.91999999999996</v>
      </c>
      <c r="J54" s="49">
        <v>39.4</v>
      </c>
      <c r="K54" s="14">
        <f t="shared" si="4"/>
        <v>-562.7800000000001</v>
      </c>
      <c r="L54" s="14">
        <f t="shared" si="5"/>
        <v>482.91999999999996</v>
      </c>
      <c r="M54" s="14">
        <f t="shared" si="6"/>
        <v>482.91999999999996</v>
      </c>
      <c r="N54" s="14">
        <f t="shared" si="10"/>
        <v>39.4</v>
      </c>
      <c r="O54" s="58">
        <f t="shared" si="15"/>
        <v>0.4618150521181983</v>
      </c>
      <c r="P54" s="58">
        <f t="shared" si="16"/>
      </c>
      <c r="Q54" s="58">
        <f t="shared" si="17"/>
      </c>
      <c r="R54" s="123">
        <f t="shared" si="18"/>
        <v>0</v>
      </c>
      <c r="S54" s="123">
        <f t="shared" si="19"/>
        <v>0</v>
      </c>
      <c r="T54" s="6">
        <v>482.27</v>
      </c>
      <c r="U54" s="6">
        <v>38.75</v>
      </c>
      <c r="V54" s="102">
        <v>0.65</v>
      </c>
      <c r="W54" s="12">
        <f t="shared" si="12"/>
        <v>482.91999999999996</v>
      </c>
      <c r="X54" s="12">
        <f t="shared" si="13"/>
        <v>39.4</v>
      </c>
      <c r="Y54" s="2"/>
    </row>
    <row r="55" spans="1:25" ht="15.75">
      <c r="A55" s="194"/>
      <c r="B55" s="197"/>
      <c r="C55" s="144"/>
      <c r="D55" s="85" t="s">
        <v>12</v>
      </c>
      <c r="E55" s="86">
        <f>SUM(E50:E54)</f>
        <v>1491686.5899999999</v>
      </c>
      <c r="F55" s="86">
        <f>SUM(F50:F54)</f>
        <v>4545901.21</v>
      </c>
      <c r="G55" s="185">
        <f>SUM(G50:G54)</f>
        <v>1791656.9100000001</v>
      </c>
      <c r="H55" s="185">
        <f>SUM(H50:H54)</f>
        <v>359195.30000000005</v>
      </c>
      <c r="I55" s="185">
        <f>SUM(I50:I54)</f>
        <v>1689144.27</v>
      </c>
      <c r="J55" s="185">
        <f>SUM(J50:J54)</f>
        <v>159096.64</v>
      </c>
      <c r="K55" s="86">
        <f t="shared" si="4"/>
        <v>197457.68000000017</v>
      </c>
      <c r="L55" s="86">
        <f t="shared" si="5"/>
        <v>-102512.64000000013</v>
      </c>
      <c r="M55" s="86">
        <f t="shared" si="6"/>
        <v>-2856756.94</v>
      </c>
      <c r="N55" s="86">
        <f t="shared" si="10"/>
        <v>-200098.66000000003</v>
      </c>
      <c r="O55" s="58">
        <f t="shared" si="15"/>
        <v>1.1323720956692385</v>
      </c>
      <c r="P55" s="58">
        <f t="shared" si="16"/>
        <v>0.9427833312126706</v>
      </c>
      <c r="Q55" s="58">
        <f t="shared" si="17"/>
        <v>0.3715752261145156</v>
      </c>
      <c r="R55" s="124">
        <f t="shared" si="18"/>
        <v>0</v>
      </c>
      <c r="S55" s="124">
        <f t="shared" si="19"/>
        <v>0</v>
      </c>
      <c r="T55" s="87">
        <f>SUM(T50:T54)</f>
        <v>1665973.35</v>
      </c>
      <c r="U55" s="87">
        <f>SUM(U50:U54)</f>
        <v>135925.72</v>
      </c>
      <c r="V55" s="87">
        <f>SUM(V50:V54)</f>
        <v>23170.920000000002</v>
      </c>
      <c r="W55" s="12">
        <f t="shared" si="12"/>
        <v>1689144.27</v>
      </c>
      <c r="X55" s="12">
        <f t="shared" si="13"/>
        <v>159096.64</v>
      </c>
      <c r="Y55" s="7"/>
    </row>
    <row r="56" spans="1:25" ht="15.75">
      <c r="A56" s="212">
        <v>991</v>
      </c>
      <c r="B56" s="212" t="s">
        <v>78</v>
      </c>
      <c r="C56" s="137" t="s">
        <v>45</v>
      </c>
      <c r="D56" s="16" t="s">
        <v>79</v>
      </c>
      <c r="E56" s="50">
        <v>18572.3</v>
      </c>
      <c r="F56" s="9">
        <v>54298.2</v>
      </c>
      <c r="G56" s="163">
        <v>21200</v>
      </c>
      <c r="H56" s="163">
        <v>4200</v>
      </c>
      <c r="I56" s="50">
        <v>19367.07</v>
      </c>
      <c r="J56" s="50">
        <v>1519.57</v>
      </c>
      <c r="K56" s="9">
        <f t="shared" si="4"/>
        <v>794.7700000000004</v>
      </c>
      <c r="L56" s="9">
        <f t="shared" si="5"/>
        <v>-1832.9300000000003</v>
      </c>
      <c r="M56" s="9">
        <f t="shared" si="6"/>
        <v>-34931.13</v>
      </c>
      <c r="N56" s="9">
        <f t="shared" si="10"/>
        <v>-2680.4300000000003</v>
      </c>
      <c r="O56" s="58">
        <f t="shared" si="15"/>
        <v>1.0427932996990141</v>
      </c>
      <c r="P56" s="58">
        <f t="shared" si="16"/>
        <v>0.913541037735849</v>
      </c>
      <c r="Q56" s="58">
        <f t="shared" si="17"/>
        <v>0.35667977944020246</v>
      </c>
      <c r="R56" s="123">
        <f t="shared" si="18"/>
        <v>0</v>
      </c>
      <c r="S56" s="123">
        <f t="shared" si="19"/>
        <v>0</v>
      </c>
      <c r="T56" s="11">
        <v>18758.15</v>
      </c>
      <c r="U56" s="11">
        <v>910.65</v>
      </c>
      <c r="V56" s="179">
        <v>608.92</v>
      </c>
      <c r="W56" s="12">
        <f t="shared" si="12"/>
        <v>19367.07</v>
      </c>
      <c r="X56" s="12">
        <f t="shared" si="13"/>
        <v>1519.57</v>
      </c>
      <c r="Y56" s="2"/>
    </row>
    <row r="57" spans="1:25" ht="15.75">
      <c r="A57" s="212"/>
      <c r="B57" s="212"/>
      <c r="C57" s="134" t="s">
        <v>80</v>
      </c>
      <c r="D57" s="13" t="s">
        <v>81</v>
      </c>
      <c r="E57" s="50">
        <v>1849</v>
      </c>
      <c r="F57" s="9"/>
      <c r="G57" s="163"/>
      <c r="H57" s="163"/>
      <c r="I57" s="50">
        <v>2263.47</v>
      </c>
      <c r="J57" s="50">
        <v>0</v>
      </c>
      <c r="K57" s="9">
        <f t="shared" si="4"/>
        <v>414.4699999999998</v>
      </c>
      <c r="L57" s="9">
        <f t="shared" si="5"/>
        <v>2263.47</v>
      </c>
      <c r="M57" s="9">
        <f t="shared" si="6"/>
        <v>2263.47</v>
      </c>
      <c r="N57" s="9">
        <f t="shared" si="10"/>
        <v>0</v>
      </c>
      <c r="O57" s="62">
        <f t="shared" si="15"/>
        <v>1.2241590048674957</v>
      </c>
      <c r="P57" s="62">
        <f t="shared" si="16"/>
      </c>
      <c r="Q57" s="62">
        <f t="shared" si="17"/>
      </c>
      <c r="R57" s="123">
        <f t="shared" si="18"/>
        <v>0</v>
      </c>
      <c r="S57" s="123">
        <f t="shared" si="19"/>
        <v>0</v>
      </c>
      <c r="T57" s="11">
        <v>2263.47</v>
      </c>
      <c r="U57" s="11"/>
      <c r="V57" s="179"/>
      <c r="W57" s="12">
        <f t="shared" si="12"/>
        <v>2263.47</v>
      </c>
      <c r="X57" s="12">
        <f t="shared" si="13"/>
        <v>0</v>
      </c>
      <c r="Y57" s="2"/>
    </row>
    <row r="58" spans="1:25" ht="15.75" hidden="1">
      <c r="A58" s="212"/>
      <c r="B58" s="212"/>
      <c r="C58" s="134" t="s">
        <v>47</v>
      </c>
      <c r="D58" s="150" t="s">
        <v>82</v>
      </c>
      <c r="E58" s="50"/>
      <c r="F58" s="5"/>
      <c r="G58" s="162"/>
      <c r="H58" s="162"/>
      <c r="I58" s="50">
        <v>0</v>
      </c>
      <c r="J58" s="50">
        <v>0</v>
      </c>
      <c r="K58" s="5">
        <f t="shared" si="4"/>
        <v>0</v>
      </c>
      <c r="L58" s="5">
        <f t="shared" si="5"/>
        <v>0</v>
      </c>
      <c r="M58" s="5">
        <f t="shared" si="6"/>
        <v>0</v>
      </c>
      <c r="N58" s="5">
        <f t="shared" si="10"/>
        <v>0</v>
      </c>
      <c r="O58" s="62">
        <f t="shared" si="15"/>
      </c>
      <c r="P58" s="62">
        <f t="shared" si="16"/>
      </c>
      <c r="Q58" s="62">
        <f t="shared" si="17"/>
      </c>
      <c r="R58" s="123">
        <f t="shared" si="18"/>
        <v>0</v>
      </c>
      <c r="S58" s="123">
        <f t="shared" si="19"/>
        <v>0</v>
      </c>
      <c r="T58" s="11"/>
      <c r="U58" s="11"/>
      <c r="V58" s="179"/>
      <c r="W58" s="12">
        <f t="shared" si="12"/>
        <v>0</v>
      </c>
      <c r="X58" s="12">
        <f t="shared" si="13"/>
        <v>0</v>
      </c>
      <c r="Y58" s="2">
        <v>1</v>
      </c>
    </row>
    <row r="59" spans="1:25" ht="15.75">
      <c r="A59" s="212"/>
      <c r="B59" s="212"/>
      <c r="C59" s="142"/>
      <c r="D59" s="79" t="s">
        <v>12</v>
      </c>
      <c r="E59" s="40">
        <f>SUM(E56:E58)</f>
        <v>20421.3</v>
      </c>
      <c r="F59" s="40">
        <f>SUM(F56:F58)</f>
        <v>54298.2</v>
      </c>
      <c r="G59" s="182">
        <f>SUM(G56:G58)</f>
        <v>21200</v>
      </c>
      <c r="H59" s="182">
        <f>SUM(H56:H58)</f>
        <v>4200</v>
      </c>
      <c r="I59" s="182">
        <f>SUM(I56:I58)</f>
        <v>21630.54</v>
      </c>
      <c r="J59" s="182">
        <f>SUM(J56:J58)</f>
        <v>1519.57</v>
      </c>
      <c r="K59" s="40">
        <f t="shared" si="4"/>
        <v>1209.2400000000016</v>
      </c>
      <c r="L59" s="40">
        <f t="shared" si="5"/>
        <v>430.5400000000009</v>
      </c>
      <c r="M59" s="40">
        <f t="shared" si="6"/>
        <v>-32667.659999999996</v>
      </c>
      <c r="N59" s="40">
        <f t="shared" si="10"/>
        <v>-2680.4300000000003</v>
      </c>
      <c r="O59" s="78">
        <f t="shared" si="15"/>
        <v>1.0592146435339573</v>
      </c>
      <c r="P59" s="78">
        <f t="shared" si="16"/>
        <v>1.0203084905660378</v>
      </c>
      <c r="Q59" s="78">
        <f t="shared" si="17"/>
        <v>0.3983656916803872</v>
      </c>
      <c r="R59" s="124">
        <f t="shared" si="18"/>
        <v>0</v>
      </c>
      <c r="S59" s="124">
        <f t="shared" si="19"/>
        <v>0</v>
      </c>
      <c r="T59" s="77">
        <f>SUM(T56:T58)</f>
        <v>21021.620000000003</v>
      </c>
      <c r="U59" s="77">
        <f>SUM(U56:U58)</f>
        <v>910.65</v>
      </c>
      <c r="V59" s="180">
        <f>SUM(V56:V58)</f>
        <v>608.92</v>
      </c>
      <c r="W59" s="12">
        <f t="shared" si="12"/>
        <v>21630.54</v>
      </c>
      <c r="X59" s="12">
        <f t="shared" si="13"/>
        <v>1519.57</v>
      </c>
      <c r="Y59" s="7"/>
    </row>
    <row r="60" spans="1:25" ht="15.75">
      <c r="A60" s="203" t="s">
        <v>83</v>
      </c>
      <c r="B60" s="189" t="s">
        <v>84</v>
      </c>
      <c r="C60" s="134" t="s">
        <v>85</v>
      </c>
      <c r="D60" s="13" t="s">
        <v>86</v>
      </c>
      <c r="E60" s="50">
        <v>2481.2900000000004</v>
      </c>
      <c r="F60" s="9">
        <v>7767.5</v>
      </c>
      <c r="G60" s="163">
        <v>3663.5</v>
      </c>
      <c r="H60" s="163">
        <v>54.8</v>
      </c>
      <c r="I60" s="48">
        <v>6577.51</v>
      </c>
      <c r="J60" s="48">
        <v>4.73</v>
      </c>
      <c r="K60" s="9">
        <f t="shared" si="4"/>
        <v>4096.219999999999</v>
      </c>
      <c r="L60" s="9">
        <f t="shared" si="5"/>
        <v>2914.01</v>
      </c>
      <c r="M60" s="9">
        <f t="shared" si="6"/>
        <v>-1189.9899999999998</v>
      </c>
      <c r="N60" s="9">
        <f t="shared" si="10"/>
        <v>-50.06999999999999</v>
      </c>
      <c r="O60" s="58">
        <f t="shared" si="15"/>
        <v>2.650842908325911</v>
      </c>
      <c r="P60" s="58">
        <f t="shared" si="16"/>
        <v>1.795416951003139</v>
      </c>
      <c r="Q60" s="58">
        <f t="shared" si="17"/>
        <v>0.846798841326038</v>
      </c>
      <c r="R60" s="123">
        <f t="shared" si="18"/>
        <v>0</v>
      </c>
      <c r="S60" s="123">
        <f t="shared" si="19"/>
        <v>0</v>
      </c>
      <c r="T60" s="12">
        <v>6576.38</v>
      </c>
      <c r="U60" s="12">
        <v>3.6</v>
      </c>
      <c r="V60" s="181">
        <v>1.13</v>
      </c>
      <c r="W60" s="12">
        <f t="shared" si="12"/>
        <v>6577.51</v>
      </c>
      <c r="X60" s="12">
        <f t="shared" si="13"/>
        <v>4.73</v>
      </c>
      <c r="Y60" s="2"/>
    </row>
    <row r="61" spans="1:25" ht="15.75">
      <c r="A61" s="203"/>
      <c r="B61" s="189"/>
      <c r="C61" s="136"/>
      <c r="D61" s="79" t="s">
        <v>12</v>
      </c>
      <c r="E61" s="40">
        <f aca="true" t="shared" si="20" ref="E61:K61">E60</f>
        <v>2481.2900000000004</v>
      </c>
      <c r="F61" s="40">
        <f t="shared" si="20"/>
        <v>7767.5</v>
      </c>
      <c r="G61" s="182">
        <f t="shared" si="20"/>
        <v>3663.5</v>
      </c>
      <c r="H61" s="182">
        <f t="shared" si="20"/>
        <v>54.8</v>
      </c>
      <c r="I61" s="182">
        <f t="shared" si="20"/>
        <v>6577.51</v>
      </c>
      <c r="J61" s="182">
        <f t="shared" si="20"/>
        <v>4.73</v>
      </c>
      <c r="K61" s="89">
        <f t="shared" si="20"/>
        <v>4096.219999999999</v>
      </c>
      <c r="L61" s="89">
        <f t="shared" si="5"/>
        <v>2914.01</v>
      </c>
      <c r="M61" s="89">
        <f t="shared" si="6"/>
        <v>-1189.9899999999998</v>
      </c>
      <c r="N61" s="89">
        <f t="shared" si="10"/>
        <v>-50.06999999999999</v>
      </c>
      <c r="O61" s="78">
        <f t="shared" si="15"/>
        <v>2.650842908325911</v>
      </c>
      <c r="P61" s="78">
        <f t="shared" si="16"/>
        <v>1.795416951003139</v>
      </c>
      <c r="Q61" s="78">
        <f t="shared" si="17"/>
        <v>0.846798841326038</v>
      </c>
      <c r="R61" s="124">
        <f t="shared" si="18"/>
        <v>0</v>
      </c>
      <c r="S61" s="124">
        <f t="shared" si="19"/>
        <v>0</v>
      </c>
      <c r="T61" s="84">
        <f>SUM(T60)</f>
        <v>6576.38</v>
      </c>
      <c r="U61" s="84">
        <f>SUM(U60)</f>
        <v>3.6</v>
      </c>
      <c r="V61" s="84">
        <f>SUM(V60)</f>
        <v>1.13</v>
      </c>
      <c r="W61" s="12">
        <f t="shared" si="12"/>
        <v>6577.51</v>
      </c>
      <c r="X61" s="12">
        <f t="shared" si="13"/>
        <v>4.73</v>
      </c>
      <c r="Y61" s="7"/>
    </row>
    <row r="62" spans="1:25" ht="15.75" hidden="1">
      <c r="A62" s="233" t="s">
        <v>87</v>
      </c>
      <c r="B62" s="231" t="s">
        <v>88</v>
      </c>
      <c r="C62" s="134" t="s">
        <v>47</v>
      </c>
      <c r="D62" s="150" t="s">
        <v>82</v>
      </c>
      <c r="E62" s="49"/>
      <c r="F62" s="9"/>
      <c r="G62" s="9"/>
      <c r="H62" s="9"/>
      <c r="I62" s="25">
        <v>0</v>
      </c>
      <c r="J62" s="25">
        <v>0</v>
      </c>
      <c r="K62" s="9">
        <f aca="true" t="shared" si="21" ref="K62:K86">I62-E62</f>
        <v>0</v>
      </c>
      <c r="L62" s="9">
        <f t="shared" si="5"/>
        <v>0</v>
      </c>
      <c r="M62" s="9">
        <f t="shared" si="6"/>
        <v>0</v>
      </c>
      <c r="N62" s="9">
        <f t="shared" si="10"/>
        <v>0</v>
      </c>
      <c r="O62" s="62">
        <f t="shared" si="15"/>
      </c>
      <c r="P62" s="62">
        <f t="shared" si="16"/>
      </c>
      <c r="Q62" s="62">
        <f t="shared" si="17"/>
      </c>
      <c r="R62" s="123">
        <f t="shared" si="18"/>
        <v>0</v>
      </c>
      <c r="S62" s="123">
        <f t="shared" si="19"/>
        <v>0</v>
      </c>
      <c r="T62" s="10"/>
      <c r="U62" s="10">
        <v>0</v>
      </c>
      <c r="V62" s="101"/>
      <c r="W62" s="12">
        <f t="shared" si="12"/>
        <v>0</v>
      </c>
      <c r="X62" s="12">
        <f t="shared" si="13"/>
        <v>0</v>
      </c>
      <c r="Y62" s="2">
        <v>1</v>
      </c>
    </row>
    <row r="63" spans="1:25" ht="15.75" hidden="1">
      <c r="A63" s="234"/>
      <c r="B63" s="232"/>
      <c r="C63" s="136"/>
      <c r="D63" s="151" t="s">
        <v>12</v>
      </c>
      <c r="E63" s="40">
        <v>0</v>
      </c>
      <c r="F63" s="86">
        <f>F62</f>
        <v>0</v>
      </c>
      <c r="G63" s="86">
        <f>H63</f>
        <v>0</v>
      </c>
      <c r="H63" s="86">
        <f>H62</f>
        <v>0</v>
      </c>
      <c r="I63" s="86">
        <v>0</v>
      </c>
      <c r="J63" s="86">
        <v>0</v>
      </c>
      <c r="K63" s="116">
        <f t="shared" si="21"/>
        <v>0</v>
      </c>
      <c r="L63" s="116">
        <f t="shared" si="5"/>
        <v>0</v>
      </c>
      <c r="M63" s="116">
        <f t="shared" si="6"/>
        <v>0</v>
      </c>
      <c r="N63" s="116">
        <f t="shared" si="10"/>
        <v>0</v>
      </c>
      <c r="O63" s="62">
        <f t="shared" si="15"/>
      </c>
      <c r="P63" s="62">
        <f t="shared" si="16"/>
      </c>
      <c r="Q63" s="62">
        <f t="shared" si="17"/>
      </c>
      <c r="R63" s="123">
        <f t="shared" si="18"/>
        <v>0</v>
      </c>
      <c r="S63" s="123">
        <f t="shared" si="19"/>
        <v>0</v>
      </c>
      <c r="T63" s="105">
        <v>0</v>
      </c>
      <c r="U63" s="105">
        <v>0</v>
      </c>
      <c r="V63" s="84"/>
      <c r="W63" s="12">
        <f t="shared" si="12"/>
        <v>0</v>
      </c>
      <c r="X63" s="12">
        <f t="shared" si="13"/>
        <v>0</v>
      </c>
      <c r="Y63" s="7">
        <v>1</v>
      </c>
    </row>
    <row r="64" spans="1:25" ht="15.75">
      <c r="A64" s="189"/>
      <c r="B64" s="189" t="s">
        <v>89</v>
      </c>
      <c r="C64" s="134" t="s">
        <v>114</v>
      </c>
      <c r="D64" s="17" t="s">
        <v>90</v>
      </c>
      <c r="E64" s="50">
        <v>417.45</v>
      </c>
      <c r="F64" s="9">
        <v>41.2</v>
      </c>
      <c r="G64" s="9">
        <v>41.2</v>
      </c>
      <c r="H64" s="9">
        <v>5.6</v>
      </c>
      <c r="I64" s="48">
        <v>83.07</v>
      </c>
      <c r="J64" s="48">
        <v>10.61</v>
      </c>
      <c r="K64" s="9">
        <f t="shared" si="21"/>
        <v>-334.38</v>
      </c>
      <c r="L64" s="9">
        <f t="shared" si="5"/>
        <v>41.86999999999999</v>
      </c>
      <c r="M64" s="9">
        <f t="shared" si="6"/>
        <v>41.86999999999999</v>
      </c>
      <c r="N64" s="9">
        <f t="shared" si="10"/>
        <v>5.01</v>
      </c>
      <c r="O64" s="58">
        <f t="shared" si="15"/>
        <v>0.19899389148401006</v>
      </c>
      <c r="P64" s="58">
        <f t="shared" si="16"/>
        <v>2.0162621359223296</v>
      </c>
      <c r="Q64" s="58">
        <f t="shared" si="17"/>
        <v>2.0162621359223296</v>
      </c>
      <c r="R64" s="123">
        <f t="shared" si="18"/>
        <v>0</v>
      </c>
      <c r="S64" s="123">
        <f t="shared" si="19"/>
        <v>0</v>
      </c>
      <c r="T64" s="12">
        <v>83.07</v>
      </c>
      <c r="U64" s="12">
        <v>10.61</v>
      </c>
      <c r="V64" s="100"/>
      <c r="W64" s="12">
        <f t="shared" si="12"/>
        <v>83.07</v>
      </c>
      <c r="X64" s="12">
        <f t="shared" si="13"/>
        <v>10.61</v>
      </c>
      <c r="Y64" s="2"/>
    </row>
    <row r="65" spans="1:25" ht="15.75">
      <c r="A65" s="208"/>
      <c r="B65" s="208"/>
      <c r="C65" s="134" t="s">
        <v>115</v>
      </c>
      <c r="D65" s="13" t="s">
        <v>158</v>
      </c>
      <c r="E65" s="26">
        <v>17.959999999999997</v>
      </c>
      <c r="F65" s="26">
        <v>47.1</v>
      </c>
      <c r="G65" s="26">
        <v>47.1</v>
      </c>
      <c r="H65" s="26">
        <v>0</v>
      </c>
      <c r="I65" s="52">
        <v>267.94</v>
      </c>
      <c r="J65" s="52">
        <v>213.03</v>
      </c>
      <c r="K65" s="26">
        <f t="shared" si="21"/>
        <v>249.98</v>
      </c>
      <c r="L65" s="26">
        <f t="shared" si="5"/>
        <v>220.84</v>
      </c>
      <c r="M65" s="26">
        <f t="shared" si="6"/>
        <v>220.84</v>
      </c>
      <c r="N65" s="26">
        <f t="shared" si="10"/>
        <v>213.03</v>
      </c>
      <c r="O65" s="58">
        <f t="shared" si="15"/>
        <v>14.918708240534523</v>
      </c>
      <c r="P65" s="58">
        <f t="shared" si="16"/>
        <v>5.688747346072186</v>
      </c>
      <c r="Q65" s="58">
        <f t="shared" si="17"/>
        <v>5.688747346072186</v>
      </c>
      <c r="R65" s="123">
        <f t="shared" si="18"/>
        <v>0</v>
      </c>
      <c r="S65" s="123">
        <f t="shared" si="19"/>
        <v>0</v>
      </c>
      <c r="T65" s="27">
        <v>267.94</v>
      </c>
      <c r="U65" s="27">
        <v>213.03</v>
      </c>
      <c r="V65" s="100"/>
      <c r="W65" s="12">
        <f t="shared" si="12"/>
        <v>267.94</v>
      </c>
      <c r="X65" s="12">
        <f t="shared" si="13"/>
        <v>213.03</v>
      </c>
      <c r="Y65" s="2"/>
    </row>
    <row r="66" spans="1:25" ht="15.75">
      <c r="A66" s="189"/>
      <c r="B66" s="189"/>
      <c r="C66" s="134" t="s">
        <v>43</v>
      </c>
      <c r="D66" s="13" t="s">
        <v>44</v>
      </c>
      <c r="E66" s="50">
        <v>9531</v>
      </c>
      <c r="F66" s="9">
        <v>6100</v>
      </c>
      <c r="G66" s="9">
        <v>6100</v>
      </c>
      <c r="H66" s="9">
        <v>0</v>
      </c>
      <c r="I66" s="48">
        <v>7387.5</v>
      </c>
      <c r="J66" s="48">
        <v>0</v>
      </c>
      <c r="K66" s="9">
        <f t="shared" si="21"/>
        <v>-2143.5</v>
      </c>
      <c r="L66" s="9">
        <f t="shared" si="5"/>
        <v>1287.5</v>
      </c>
      <c r="M66" s="9">
        <f t="shared" si="6"/>
        <v>1287.5</v>
      </c>
      <c r="N66" s="9">
        <f t="shared" si="10"/>
        <v>0</v>
      </c>
      <c r="O66" s="58">
        <f t="shared" si="15"/>
        <v>0.7751022977651872</v>
      </c>
      <c r="P66" s="58">
        <f t="shared" si="16"/>
        <v>1.2110655737704918</v>
      </c>
      <c r="Q66" s="58">
        <f t="shared" si="17"/>
        <v>1.2110655737704918</v>
      </c>
      <c r="R66" s="123">
        <f t="shared" si="18"/>
        <v>0</v>
      </c>
      <c r="S66" s="123">
        <f t="shared" si="19"/>
        <v>0</v>
      </c>
      <c r="T66" s="12">
        <v>7387.5</v>
      </c>
      <c r="U66" s="12"/>
      <c r="V66" s="100"/>
      <c r="W66" s="12">
        <f t="shared" si="12"/>
        <v>7387.5</v>
      </c>
      <c r="X66" s="12">
        <f t="shared" si="13"/>
        <v>0</v>
      </c>
      <c r="Y66" s="2"/>
    </row>
    <row r="67" spans="1:25" ht="31.5">
      <c r="A67" s="189"/>
      <c r="B67" s="189"/>
      <c r="C67" s="134" t="s">
        <v>123</v>
      </c>
      <c r="D67" s="13" t="s">
        <v>73</v>
      </c>
      <c r="E67" s="50">
        <v>9826.400000000092</v>
      </c>
      <c r="F67" s="5">
        <v>680.5</v>
      </c>
      <c r="G67" s="5">
        <v>270</v>
      </c>
      <c r="H67" s="5">
        <v>60</v>
      </c>
      <c r="I67" s="50">
        <v>22293.200000000317</v>
      </c>
      <c r="J67" s="50">
        <v>1020.7899999999453</v>
      </c>
      <c r="K67" s="5">
        <f t="shared" si="21"/>
        <v>12466.800000000225</v>
      </c>
      <c r="L67" s="5">
        <f t="shared" si="5"/>
        <v>22023.200000000317</v>
      </c>
      <c r="M67" s="5">
        <f t="shared" si="6"/>
        <v>21612.700000000317</v>
      </c>
      <c r="N67" s="5">
        <f t="shared" si="10"/>
        <v>960.7899999999453</v>
      </c>
      <c r="O67" s="58">
        <f t="shared" si="15"/>
        <v>2.2687047138321366</v>
      </c>
      <c r="P67" s="58">
        <f t="shared" si="16"/>
        <v>82.56740740740858</v>
      </c>
      <c r="Q67" s="58">
        <f t="shared" si="17"/>
        <v>32.76002939015476</v>
      </c>
      <c r="R67" s="123">
        <f t="shared" si="18"/>
        <v>0</v>
      </c>
      <c r="S67" s="123">
        <f t="shared" si="19"/>
        <v>0</v>
      </c>
      <c r="T67" s="11">
        <v>22281.820000000316</v>
      </c>
      <c r="U67" s="11">
        <v>1009.4099999999453</v>
      </c>
      <c r="V67" s="63">
        <v>11.38</v>
      </c>
      <c r="W67" s="12">
        <f t="shared" si="12"/>
        <v>22293.200000000317</v>
      </c>
      <c r="X67" s="12">
        <f t="shared" si="13"/>
        <v>1020.7899999999453</v>
      </c>
      <c r="Y67" s="2"/>
    </row>
    <row r="68" spans="1:25" ht="15.75">
      <c r="A68" s="189"/>
      <c r="B68" s="189"/>
      <c r="C68" s="134" t="s">
        <v>76</v>
      </c>
      <c r="D68" s="13" t="s">
        <v>77</v>
      </c>
      <c r="E68" s="49">
        <v>36243.26999999999</v>
      </c>
      <c r="F68" s="5">
        <f>86939.9+8662.9</f>
        <v>95602.79999999999</v>
      </c>
      <c r="G68" s="5">
        <v>32615.7</v>
      </c>
      <c r="H68" s="5">
        <v>6540.5</v>
      </c>
      <c r="I68" s="166">
        <v>35680.74999999997</v>
      </c>
      <c r="J68" s="166">
        <v>2824.999999999998</v>
      </c>
      <c r="K68" s="5">
        <f t="shared" si="21"/>
        <v>-562.5200000000186</v>
      </c>
      <c r="L68" s="5">
        <f t="shared" si="5"/>
        <v>3065.04999999997</v>
      </c>
      <c r="M68" s="5">
        <f t="shared" si="6"/>
        <v>-59922.05000000002</v>
      </c>
      <c r="N68" s="5">
        <f t="shared" si="10"/>
        <v>-3715.500000000002</v>
      </c>
      <c r="O68" s="58">
        <f t="shared" si="15"/>
        <v>0.984479325403033</v>
      </c>
      <c r="P68" s="58">
        <f t="shared" si="16"/>
        <v>1.0939746809052073</v>
      </c>
      <c r="Q68" s="58">
        <f t="shared" si="17"/>
        <v>0.37321867141966525</v>
      </c>
      <c r="R68" s="123">
        <f t="shared" si="18"/>
        <v>0</v>
      </c>
      <c r="S68" s="123">
        <f t="shared" si="19"/>
        <v>0</v>
      </c>
      <c r="T68" s="6">
        <v>34775.33999999997</v>
      </c>
      <c r="U68" s="6">
        <v>1919.5899999999983</v>
      </c>
      <c r="V68" s="102">
        <v>905.41</v>
      </c>
      <c r="W68" s="12">
        <f t="shared" si="12"/>
        <v>35680.74999999997</v>
      </c>
      <c r="X68" s="12">
        <f t="shared" si="13"/>
        <v>2824.999999999998</v>
      </c>
      <c r="Y68" s="2"/>
    </row>
    <row r="69" spans="1:25" ht="15.75">
      <c r="A69" s="189"/>
      <c r="B69" s="189"/>
      <c r="C69" s="134" t="s">
        <v>91</v>
      </c>
      <c r="D69" s="13" t="s">
        <v>92</v>
      </c>
      <c r="E69" s="49">
        <v>357.7899999999999</v>
      </c>
      <c r="F69" s="5"/>
      <c r="G69" s="5"/>
      <c r="H69" s="5"/>
      <c r="I69" s="166">
        <v>-5994.25</v>
      </c>
      <c r="J69" s="166">
        <v>-138.70000000000002</v>
      </c>
      <c r="K69" s="5">
        <f t="shared" si="21"/>
        <v>-6352.04</v>
      </c>
      <c r="L69" s="5">
        <f t="shared" si="5"/>
        <v>-5994.25</v>
      </c>
      <c r="M69" s="5">
        <f t="shared" si="6"/>
        <v>-5994.25</v>
      </c>
      <c r="N69" s="5">
        <f t="shared" si="10"/>
        <v>-138.70000000000002</v>
      </c>
      <c r="O69" s="58">
        <f aca="true" t="shared" si="22" ref="O69:O85">_xlfn.IFERROR(I69/E69,"")</f>
        <v>-16.753542580843515</v>
      </c>
      <c r="P69" s="58">
        <f aca="true" t="shared" si="23" ref="P69:P86">_xlfn.IFERROR(I69/G69,"")</f>
      </c>
      <c r="Q69" s="58">
        <f aca="true" t="shared" si="24" ref="Q69:Q86">_xlfn.IFERROR(I69/F69,"")</f>
      </c>
      <c r="R69" s="123">
        <f aca="true" t="shared" si="25" ref="R69:R81">W69-I69</f>
        <v>0</v>
      </c>
      <c r="S69" s="123">
        <f aca="true" t="shared" si="26" ref="S69:S81">X69-J69</f>
        <v>0</v>
      </c>
      <c r="T69" s="6">
        <v>-6008.35</v>
      </c>
      <c r="U69" s="6">
        <v>-152.8</v>
      </c>
      <c r="V69" s="102">
        <v>14.1</v>
      </c>
      <c r="W69" s="12">
        <f t="shared" si="12"/>
        <v>-5994.25</v>
      </c>
      <c r="X69" s="12">
        <f t="shared" si="13"/>
        <v>-138.70000000000002</v>
      </c>
      <c r="Y69" s="2"/>
    </row>
    <row r="70" spans="1:25" ht="15.75">
      <c r="A70" s="189"/>
      <c r="B70" s="189"/>
      <c r="C70" s="134" t="s">
        <v>47</v>
      </c>
      <c r="D70" s="13" t="s">
        <v>61</v>
      </c>
      <c r="E70" s="49">
        <f>7488.12+135.61</f>
        <v>7623.73</v>
      </c>
      <c r="F70" s="5">
        <v>16333.1</v>
      </c>
      <c r="G70" s="5">
        <v>2900</v>
      </c>
      <c r="H70" s="5">
        <v>950</v>
      </c>
      <c r="I70" s="166">
        <v>29233.23</v>
      </c>
      <c r="J70" s="166">
        <v>2397.7200000000003</v>
      </c>
      <c r="K70" s="5">
        <f t="shared" si="21"/>
        <v>21609.5</v>
      </c>
      <c r="L70" s="5">
        <f aca="true" t="shared" si="27" ref="L70:L86">I70-G70</f>
        <v>26333.23</v>
      </c>
      <c r="M70" s="5">
        <f aca="true" t="shared" si="28" ref="M70:M86">I70-F70</f>
        <v>12900.13</v>
      </c>
      <c r="N70" s="5">
        <f aca="true" t="shared" si="29" ref="N70:N85">J70-H70</f>
        <v>1447.7200000000003</v>
      </c>
      <c r="O70" s="58">
        <f t="shared" si="22"/>
        <v>3.8345048945857214</v>
      </c>
      <c r="P70" s="58">
        <f t="shared" si="23"/>
        <v>10.080424137931034</v>
      </c>
      <c r="Q70" s="58">
        <f t="shared" si="24"/>
        <v>1.7898151606247437</v>
      </c>
      <c r="R70" s="123">
        <f t="shared" si="25"/>
        <v>0</v>
      </c>
      <c r="S70" s="123">
        <f t="shared" si="26"/>
        <v>0</v>
      </c>
      <c r="T70" s="6">
        <f>28895.87+220.27</f>
        <v>29116.14</v>
      </c>
      <c r="U70" s="6">
        <f>2253.6+27.03</f>
        <v>2280.63</v>
      </c>
      <c r="V70" s="102">
        <f>93.3+23.79</f>
        <v>117.09</v>
      </c>
      <c r="W70" s="12">
        <f t="shared" si="12"/>
        <v>29233.23</v>
      </c>
      <c r="X70" s="12">
        <f t="shared" si="13"/>
        <v>2397.7200000000003</v>
      </c>
      <c r="Y70" s="2"/>
    </row>
    <row r="71" spans="1:25" ht="15.75">
      <c r="A71" s="238"/>
      <c r="B71" s="238"/>
      <c r="C71" s="134" t="s">
        <v>163</v>
      </c>
      <c r="D71" s="13" t="s">
        <v>162</v>
      </c>
      <c r="E71" s="49">
        <v>2040.93</v>
      </c>
      <c r="F71" s="5">
        <v>0</v>
      </c>
      <c r="G71" s="5">
        <f>H71</f>
        <v>0</v>
      </c>
      <c r="H71" s="5">
        <v>0</v>
      </c>
      <c r="I71" s="166">
        <v>795.93</v>
      </c>
      <c r="J71" s="166">
        <v>0</v>
      </c>
      <c r="K71" s="5">
        <f t="shared" si="21"/>
        <v>-1245</v>
      </c>
      <c r="L71" s="5">
        <f t="shared" si="27"/>
        <v>795.93</v>
      </c>
      <c r="M71" s="5">
        <f t="shared" si="28"/>
        <v>795.93</v>
      </c>
      <c r="N71" s="5">
        <f t="shared" si="29"/>
        <v>0</v>
      </c>
      <c r="O71" s="58">
        <f t="shared" si="22"/>
        <v>0.38998397789243133</v>
      </c>
      <c r="P71" s="58">
        <f t="shared" si="23"/>
      </c>
      <c r="Q71" s="58">
        <f t="shared" si="24"/>
      </c>
      <c r="R71" s="123">
        <f t="shared" si="25"/>
        <v>0</v>
      </c>
      <c r="S71" s="123">
        <f t="shared" si="26"/>
        <v>0</v>
      </c>
      <c r="T71" s="6">
        <v>795.93</v>
      </c>
      <c r="U71" s="6"/>
      <c r="V71" s="61"/>
      <c r="W71" s="12">
        <f t="shared" si="12"/>
        <v>795.93</v>
      </c>
      <c r="X71" s="12">
        <f t="shared" si="13"/>
        <v>0</v>
      </c>
      <c r="Y71" s="2"/>
    </row>
    <row r="72" spans="1:25" ht="15.75">
      <c r="A72" s="189"/>
      <c r="B72" s="189"/>
      <c r="C72" s="136"/>
      <c r="D72" s="79" t="s">
        <v>93</v>
      </c>
      <c r="E72" s="40">
        <f>SUM(E64:E71)</f>
        <v>66058.53000000007</v>
      </c>
      <c r="F72" s="40">
        <f>SUM(F64:F71)</f>
        <v>118804.7</v>
      </c>
      <c r="G72" s="40">
        <f>SUM(G64:G71)</f>
        <v>41974</v>
      </c>
      <c r="H72" s="40">
        <f>SUM(H64:H71)</f>
        <v>7556.1</v>
      </c>
      <c r="I72" s="40">
        <f>SUM(I64:I71)</f>
        <v>89747.37000000027</v>
      </c>
      <c r="J72" s="40">
        <f>SUM(J64:J71)</f>
        <v>6328.449999999944</v>
      </c>
      <c r="K72" s="89">
        <f t="shared" si="21"/>
        <v>23688.8400000002</v>
      </c>
      <c r="L72" s="89">
        <f t="shared" si="27"/>
        <v>47773.37000000027</v>
      </c>
      <c r="M72" s="89">
        <f t="shared" si="28"/>
        <v>-29057.329999999725</v>
      </c>
      <c r="N72" s="89">
        <f t="shared" si="29"/>
        <v>-1227.650000000056</v>
      </c>
      <c r="O72" s="78">
        <f t="shared" si="22"/>
        <v>1.3586038018103064</v>
      </c>
      <c r="P72" s="78">
        <f t="shared" si="23"/>
        <v>2.138165769285755</v>
      </c>
      <c r="Q72" s="78">
        <f t="shared" si="24"/>
        <v>0.7554193563049296</v>
      </c>
      <c r="R72" s="124">
        <f t="shared" si="25"/>
        <v>0</v>
      </c>
      <c r="S72" s="124">
        <f t="shared" si="26"/>
        <v>0</v>
      </c>
      <c r="T72" s="84">
        <f>SUM(T64:T71)</f>
        <v>88699.39000000028</v>
      </c>
      <c r="U72" s="84">
        <f>SUM(U64:U71)</f>
        <v>5280.469999999943</v>
      </c>
      <c r="V72" s="84">
        <f>SUM(V64:V71)</f>
        <v>1047.98</v>
      </c>
      <c r="W72" s="12">
        <f t="shared" si="12"/>
        <v>89747.37000000027</v>
      </c>
      <c r="X72" s="12">
        <f t="shared" si="13"/>
        <v>6328.4499999999425</v>
      </c>
      <c r="Y72" s="7"/>
    </row>
    <row r="73" spans="1:28" ht="25.5" customHeight="1">
      <c r="A73" s="239" t="s">
        <v>94</v>
      </c>
      <c r="B73" s="239"/>
      <c r="C73" s="240"/>
      <c r="D73" s="239"/>
      <c r="E73" s="90">
        <f>E5+E22</f>
        <v>7200939.279999999</v>
      </c>
      <c r="F73" s="171">
        <f>F5+F22</f>
        <v>26226995.930000003</v>
      </c>
      <c r="G73" s="90">
        <f>G5+G22</f>
        <v>9085577.41</v>
      </c>
      <c r="H73" s="90">
        <f>H5+H22</f>
        <v>3624381.3000000003</v>
      </c>
      <c r="I73" s="90">
        <f>I5+I22</f>
        <v>7250505.507000001</v>
      </c>
      <c r="J73" s="90">
        <f>J5+J22</f>
        <v>244773.62699999998</v>
      </c>
      <c r="K73" s="91">
        <f t="shared" si="21"/>
        <v>49566.22700000182</v>
      </c>
      <c r="L73" s="91">
        <f t="shared" si="27"/>
        <v>-1835071.902999999</v>
      </c>
      <c r="M73" s="91">
        <f t="shared" si="28"/>
        <v>-18976490.423</v>
      </c>
      <c r="N73" s="91">
        <f t="shared" si="29"/>
        <v>-3379607.6730000004</v>
      </c>
      <c r="O73" s="92">
        <f t="shared" si="22"/>
        <v>1.006883300229689</v>
      </c>
      <c r="P73" s="92">
        <f t="shared" si="23"/>
        <v>0.7980236345815253</v>
      </c>
      <c r="Q73" s="92">
        <f t="shared" si="24"/>
        <v>0.2764520010736891</v>
      </c>
      <c r="R73" s="124">
        <f t="shared" si="25"/>
        <v>0</v>
      </c>
      <c r="S73" s="124">
        <f t="shared" si="26"/>
        <v>0</v>
      </c>
      <c r="T73" s="73">
        <f>T5+T22</f>
        <v>7220832.550000002</v>
      </c>
      <c r="U73" s="73">
        <f>U5+U22</f>
        <v>215100.66999999993</v>
      </c>
      <c r="V73" s="73">
        <f>V5+V22</f>
        <v>29672.957</v>
      </c>
      <c r="W73" s="73">
        <f>T73+V73</f>
        <v>7250505.507000002</v>
      </c>
      <c r="X73" s="73">
        <f aca="true" t="shared" si="30" ref="X73:X84">U73+V73</f>
        <v>244773.62699999992</v>
      </c>
      <c r="Y73" s="69"/>
      <c r="AA73" s="106"/>
      <c r="AB73" s="117"/>
    </row>
    <row r="74" spans="1:25" ht="15.75" hidden="1">
      <c r="A74" s="241" t="s">
        <v>113</v>
      </c>
      <c r="B74" s="242"/>
      <c r="C74" s="242"/>
      <c r="D74" s="243"/>
      <c r="E74" s="90">
        <v>3770698.64</v>
      </c>
      <c r="F74" s="90">
        <f>F73-F53-F51-F52</f>
        <v>21681094.720000003</v>
      </c>
      <c r="G74" s="90">
        <f>H74</f>
        <v>3265186.0000000005</v>
      </c>
      <c r="H74" s="90">
        <f>H73-H53-H51-H52</f>
        <v>3265186.0000000005</v>
      </c>
      <c r="I74" s="90">
        <v>5560513.397000001</v>
      </c>
      <c r="J74" s="90">
        <v>84385.62699999989</v>
      </c>
      <c r="K74" s="90">
        <f t="shared" si="21"/>
        <v>1789814.7570000007</v>
      </c>
      <c r="L74" s="90">
        <f t="shared" si="27"/>
        <v>2295327.3970000003</v>
      </c>
      <c r="M74" s="90">
        <f t="shared" si="28"/>
        <v>-16120581.323000003</v>
      </c>
      <c r="N74" s="90">
        <f t="shared" si="29"/>
        <v>-3180800.3730000006</v>
      </c>
      <c r="O74" s="118">
        <f t="shared" si="22"/>
        <v>1.47466396227305</v>
      </c>
      <c r="P74" s="118">
        <f t="shared" si="23"/>
        <v>1.7029698758355574</v>
      </c>
      <c r="Q74" s="118">
        <f t="shared" si="24"/>
        <v>0.2564682950197452</v>
      </c>
      <c r="R74" s="124">
        <f t="shared" si="25"/>
        <v>1330.7600000007078</v>
      </c>
      <c r="S74" s="124">
        <f t="shared" si="26"/>
        <v>1330.7600000000093</v>
      </c>
      <c r="T74" s="55">
        <f>T73-T53-T51-T52</f>
        <v>5555341.470000002</v>
      </c>
      <c r="U74" s="55">
        <f>U73-U53-U51-U52</f>
        <v>79213.69999999992</v>
      </c>
      <c r="V74" s="55">
        <f>V73-V53-V51-V52</f>
        <v>6502.686999999997</v>
      </c>
      <c r="W74" s="55">
        <f>W73-W53-W51-W52</f>
        <v>5561844.1570000015</v>
      </c>
      <c r="X74" s="55">
        <f>X73-X53-X51-X52</f>
        <v>85716.3869999999</v>
      </c>
      <c r="Y74" s="69">
        <v>1</v>
      </c>
    </row>
    <row r="75" spans="1:25" ht="33" customHeight="1">
      <c r="A75" s="244"/>
      <c r="B75" s="219"/>
      <c r="C75" s="134"/>
      <c r="D75" s="70" t="s">
        <v>95</v>
      </c>
      <c r="E75" s="153">
        <f>SUM(E76:E84)</f>
        <v>6772459.14</v>
      </c>
      <c r="F75" s="67">
        <f>SUM(F76:F84)</f>
        <v>24728720.570000004</v>
      </c>
      <c r="G75" s="67">
        <f>SUM(G76:G84)</f>
        <v>8112159.09</v>
      </c>
      <c r="H75" s="67">
        <f>SUM(H76:H84)</f>
        <v>1914129.9099999997</v>
      </c>
      <c r="I75" s="67">
        <v>7696750.4799999995</v>
      </c>
      <c r="J75" s="67">
        <v>1620401.7899999998</v>
      </c>
      <c r="K75" s="71">
        <f t="shared" si="21"/>
        <v>924291.3399999999</v>
      </c>
      <c r="L75" s="71">
        <f t="shared" si="27"/>
        <v>-415408.61000000034</v>
      </c>
      <c r="M75" s="71">
        <f t="shared" si="28"/>
        <v>-17031970.090000004</v>
      </c>
      <c r="N75" s="71">
        <f t="shared" si="29"/>
        <v>-293728.1199999999</v>
      </c>
      <c r="O75" s="72">
        <f t="shared" si="22"/>
        <v>1.1364779500168383</v>
      </c>
      <c r="P75" s="72">
        <f t="shared" si="23"/>
        <v>0.9487918561025163</v>
      </c>
      <c r="Q75" s="72">
        <f t="shared" si="24"/>
        <v>0.31124742010864165</v>
      </c>
      <c r="R75" s="124">
        <f t="shared" si="25"/>
        <v>0</v>
      </c>
      <c r="S75" s="124">
        <f t="shared" si="26"/>
        <v>0</v>
      </c>
      <c r="T75" s="73">
        <f>SUM(T76:T84)</f>
        <v>7518500.36</v>
      </c>
      <c r="U75" s="73">
        <f>SUM(U76:U84)</f>
        <v>1442151.6699999997</v>
      </c>
      <c r="V75" s="73">
        <f>SUM(V76:V84)</f>
        <v>178250.12</v>
      </c>
      <c r="W75" s="73">
        <f>SUM(W76:W84)</f>
        <v>7696750.4799999995</v>
      </c>
      <c r="X75" s="73">
        <f>SUM(X76:X84)</f>
        <v>1620401.7899999998</v>
      </c>
      <c r="Y75" s="69"/>
    </row>
    <row r="76" spans="1:25" ht="31.5">
      <c r="A76" s="244"/>
      <c r="B76" s="219"/>
      <c r="C76" s="134" t="s">
        <v>134</v>
      </c>
      <c r="D76" s="28" t="s">
        <v>96</v>
      </c>
      <c r="E76" s="49">
        <v>539943.4</v>
      </c>
      <c r="F76" s="28">
        <v>384548</v>
      </c>
      <c r="G76" s="162">
        <v>320133.9</v>
      </c>
      <c r="H76" s="162">
        <v>31556</v>
      </c>
      <c r="I76" s="173">
        <v>288577.9</v>
      </c>
      <c r="J76" s="173">
        <v>0</v>
      </c>
      <c r="K76" s="5">
        <f aca="true" t="shared" si="31" ref="K76:K82">I76-E76</f>
        <v>-251365.5</v>
      </c>
      <c r="L76" s="5">
        <f>I76-G76</f>
        <v>-31556</v>
      </c>
      <c r="M76" s="5">
        <f>I76-F76</f>
        <v>-95970.09999999998</v>
      </c>
      <c r="N76" s="5">
        <f>J76-H76</f>
        <v>-31556</v>
      </c>
      <c r="O76" s="59">
        <f t="shared" si="22"/>
        <v>0.5344595377959986</v>
      </c>
      <c r="P76" s="59">
        <f t="shared" si="23"/>
        <v>0.9014287459091337</v>
      </c>
      <c r="Q76" s="59">
        <f t="shared" si="24"/>
        <v>0.7504340160396102</v>
      </c>
      <c r="R76" s="123">
        <f t="shared" si="25"/>
        <v>0</v>
      </c>
      <c r="S76" s="123">
        <f t="shared" si="26"/>
        <v>0</v>
      </c>
      <c r="T76" s="10">
        <v>288577.9</v>
      </c>
      <c r="U76" s="10"/>
      <c r="V76" s="101"/>
      <c r="W76" s="10">
        <f aca="true" t="shared" si="32" ref="W76:W84">T76+V76</f>
        <v>288577.9</v>
      </c>
      <c r="X76" s="10">
        <f t="shared" si="30"/>
        <v>0</v>
      </c>
      <c r="Y76" s="15"/>
    </row>
    <row r="77" spans="1:25" ht="15.75">
      <c r="A77" s="244"/>
      <c r="B77" s="219"/>
      <c r="C77" s="134" t="s">
        <v>135</v>
      </c>
      <c r="D77" s="29" t="s">
        <v>97</v>
      </c>
      <c r="E77" s="49">
        <v>766566.0199999999</v>
      </c>
      <c r="F77" s="161">
        <v>6580276.5</v>
      </c>
      <c r="G77" s="162">
        <v>1216478.57</v>
      </c>
      <c r="H77" s="166">
        <v>180605.12</v>
      </c>
      <c r="I77" s="173">
        <v>1216478.57</v>
      </c>
      <c r="J77" s="173">
        <v>180605.12</v>
      </c>
      <c r="K77" s="5">
        <f t="shared" si="31"/>
        <v>449912.55000000016</v>
      </c>
      <c r="L77" s="162">
        <f>I77-G77</f>
        <v>0</v>
      </c>
      <c r="M77" s="162">
        <f>I77-F77</f>
        <v>-5363797.93</v>
      </c>
      <c r="N77" s="162">
        <f>J77-H77</f>
        <v>0</v>
      </c>
      <c r="O77" s="59">
        <f t="shared" si="22"/>
        <v>1.5869195062937962</v>
      </c>
      <c r="P77" s="59">
        <f t="shared" si="23"/>
        <v>1</v>
      </c>
      <c r="Q77" s="59">
        <f t="shared" si="24"/>
        <v>0.18486739425007445</v>
      </c>
      <c r="R77" s="123">
        <f t="shared" si="25"/>
        <v>0</v>
      </c>
      <c r="S77" s="123">
        <f t="shared" si="26"/>
        <v>0</v>
      </c>
      <c r="T77" s="10">
        <v>1040184.7500000001</v>
      </c>
      <c r="U77" s="10">
        <v>4311.3</v>
      </c>
      <c r="V77" s="101">
        <v>176293.82</v>
      </c>
      <c r="W77" s="10">
        <f t="shared" si="32"/>
        <v>1216478.57</v>
      </c>
      <c r="X77" s="10">
        <f t="shared" si="30"/>
        <v>180605.12</v>
      </c>
      <c r="Y77" s="2"/>
    </row>
    <row r="78" spans="1:25" ht="15.75">
      <c r="A78" s="244"/>
      <c r="B78" s="219"/>
      <c r="C78" s="134" t="s">
        <v>136</v>
      </c>
      <c r="D78" s="29" t="s">
        <v>98</v>
      </c>
      <c r="E78" s="49">
        <v>4448328.5200000005</v>
      </c>
      <c r="F78" s="161">
        <v>12308977.3</v>
      </c>
      <c r="G78" s="162">
        <v>4528720.04</v>
      </c>
      <c r="H78" s="166">
        <v>1345595.5999999999</v>
      </c>
      <c r="I78" s="173">
        <v>4528720.04</v>
      </c>
      <c r="J78" s="173">
        <v>1345595.5999999999</v>
      </c>
      <c r="K78" s="5">
        <f t="shared" si="31"/>
        <v>80391.51999999955</v>
      </c>
      <c r="L78" s="162">
        <f>I78-G78</f>
        <v>0</v>
      </c>
      <c r="M78" s="162">
        <f t="shared" si="28"/>
        <v>-7780257.260000001</v>
      </c>
      <c r="N78" s="162">
        <f>J78-H78</f>
        <v>0</v>
      </c>
      <c r="O78" s="59">
        <f t="shared" si="22"/>
        <v>1.0180722983112767</v>
      </c>
      <c r="P78" s="59">
        <f t="shared" si="23"/>
        <v>1</v>
      </c>
      <c r="Q78" s="59">
        <f t="shared" si="24"/>
        <v>0.36792009032301976</v>
      </c>
      <c r="R78" s="123">
        <f t="shared" si="25"/>
        <v>0</v>
      </c>
      <c r="S78" s="123">
        <f t="shared" si="26"/>
        <v>0</v>
      </c>
      <c r="T78" s="10">
        <v>4528720.04</v>
      </c>
      <c r="U78" s="10">
        <v>1345595.5999999999</v>
      </c>
      <c r="V78" s="61"/>
      <c r="W78" s="10">
        <f t="shared" si="32"/>
        <v>4528720.04</v>
      </c>
      <c r="X78" s="10">
        <f t="shared" si="30"/>
        <v>1345595.5999999999</v>
      </c>
      <c r="Y78" s="2"/>
    </row>
    <row r="79" spans="1:25" ht="15.75">
      <c r="A79" s="244"/>
      <c r="B79" s="219"/>
      <c r="C79" s="134" t="s">
        <v>137</v>
      </c>
      <c r="D79" s="16" t="s">
        <v>99</v>
      </c>
      <c r="E79" s="49">
        <v>997728.0499999999</v>
      </c>
      <c r="F79" s="161">
        <v>5446911.9</v>
      </c>
      <c r="G79" s="162">
        <v>2038431.8199999998</v>
      </c>
      <c r="H79" s="162">
        <v>356373.19</v>
      </c>
      <c r="I79" s="166">
        <v>1776240.74</v>
      </c>
      <c r="J79" s="166">
        <v>94182.11</v>
      </c>
      <c r="K79" s="5">
        <f t="shared" si="31"/>
        <v>778512.6900000001</v>
      </c>
      <c r="L79" s="162">
        <f>I79-G79</f>
        <v>-262191.07999999984</v>
      </c>
      <c r="M79" s="162">
        <f t="shared" si="28"/>
        <v>-3670671.16</v>
      </c>
      <c r="N79" s="162">
        <f t="shared" si="29"/>
        <v>-262191.08</v>
      </c>
      <c r="O79" s="59">
        <f t="shared" si="22"/>
        <v>1.7802854595498243</v>
      </c>
      <c r="P79" s="59">
        <f t="shared" si="23"/>
        <v>0.8713760855636565</v>
      </c>
      <c r="Q79" s="59">
        <f t="shared" si="24"/>
        <v>0.3261005084367162</v>
      </c>
      <c r="R79" s="123">
        <f t="shared" si="25"/>
        <v>0</v>
      </c>
      <c r="S79" s="123">
        <f t="shared" si="26"/>
        <v>0</v>
      </c>
      <c r="T79" s="10">
        <v>1774308.27</v>
      </c>
      <c r="U79" s="10">
        <v>92249.64</v>
      </c>
      <c r="V79" s="188">
        <v>1932.47</v>
      </c>
      <c r="W79" s="10">
        <f t="shared" si="32"/>
        <v>1776240.74</v>
      </c>
      <c r="X79" s="10">
        <f t="shared" si="30"/>
        <v>94182.11</v>
      </c>
      <c r="Y79" s="2"/>
    </row>
    <row r="80" spans="1:25" ht="31.5">
      <c r="A80" s="245"/>
      <c r="B80" s="247"/>
      <c r="C80" s="134" t="s">
        <v>133</v>
      </c>
      <c r="D80" s="16" t="s">
        <v>132</v>
      </c>
      <c r="E80" s="49">
        <v>4.06</v>
      </c>
      <c r="F80" s="162"/>
      <c r="G80" s="5">
        <v>387.89</v>
      </c>
      <c r="H80" s="5">
        <v>0</v>
      </c>
      <c r="I80" s="166">
        <v>387.89</v>
      </c>
      <c r="J80" s="166">
        <v>0</v>
      </c>
      <c r="K80" s="5">
        <f t="shared" si="31"/>
        <v>383.83</v>
      </c>
      <c r="L80" s="5">
        <f>I80-G80</f>
        <v>0</v>
      </c>
      <c r="M80" s="5">
        <f t="shared" si="28"/>
        <v>387.89</v>
      </c>
      <c r="N80" s="5">
        <f t="shared" si="29"/>
        <v>0</v>
      </c>
      <c r="O80" s="60">
        <f>_xlfn.IFERROR(I80/E80,"")</f>
        <v>95.53940886699507</v>
      </c>
      <c r="P80" s="60">
        <f t="shared" si="23"/>
        <v>1</v>
      </c>
      <c r="Q80" s="60">
        <f t="shared" si="24"/>
      </c>
      <c r="R80" s="123">
        <f t="shared" si="25"/>
        <v>0</v>
      </c>
      <c r="S80" s="123">
        <f t="shared" si="26"/>
        <v>0</v>
      </c>
      <c r="T80" s="10">
        <v>387.89</v>
      </c>
      <c r="U80" s="10"/>
      <c r="V80" s="61"/>
      <c r="W80" s="10">
        <f t="shared" si="32"/>
        <v>387.89</v>
      </c>
      <c r="X80" s="10">
        <f t="shared" si="30"/>
        <v>0</v>
      </c>
      <c r="Y80" s="2"/>
    </row>
    <row r="81" spans="1:25" ht="29.25" customHeight="1">
      <c r="A81" s="244"/>
      <c r="B81" s="219"/>
      <c r="C81" s="134" t="s">
        <v>100</v>
      </c>
      <c r="D81" s="43" t="s">
        <v>101</v>
      </c>
      <c r="E81" s="49">
        <v>33813.61</v>
      </c>
      <c r="F81" s="162"/>
      <c r="G81" s="5"/>
      <c r="H81" s="5"/>
      <c r="I81" s="166">
        <v>0</v>
      </c>
      <c r="J81" s="166">
        <v>0</v>
      </c>
      <c r="K81" s="5">
        <f t="shared" si="31"/>
        <v>-33813.61</v>
      </c>
      <c r="L81" s="5">
        <f>I81-G81</f>
        <v>0</v>
      </c>
      <c r="M81" s="5">
        <f>I81-F81</f>
        <v>0</v>
      </c>
      <c r="N81" s="5">
        <f t="shared" si="29"/>
        <v>0</v>
      </c>
      <c r="O81" s="59">
        <f t="shared" si="22"/>
        <v>0</v>
      </c>
      <c r="P81" s="59">
        <f t="shared" si="23"/>
      </c>
      <c r="Q81" s="59">
        <f t="shared" si="24"/>
      </c>
      <c r="R81" s="123">
        <f t="shared" si="25"/>
        <v>0</v>
      </c>
      <c r="S81" s="123">
        <f t="shared" si="26"/>
        <v>0</v>
      </c>
      <c r="T81" s="10"/>
      <c r="U81" s="10"/>
      <c r="V81" s="102"/>
      <c r="W81" s="10">
        <f t="shared" si="32"/>
        <v>0</v>
      </c>
      <c r="X81" s="10">
        <f t="shared" si="30"/>
        <v>0</v>
      </c>
      <c r="Y81" s="2"/>
    </row>
    <row r="82" spans="1:25" s="54" customFormat="1" ht="70.5" customHeight="1">
      <c r="A82" s="246"/>
      <c r="B82" s="248"/>
      <c r="C82" s="145" t="s">
        <v>146</v>
      </c>
      <c r="D82" s="43" t="s">
        <v>147</v>
      </c>
      <c r="E82" s="49"/>
      <c r="F82" s="119"/>
      <c r="G82" s="119"/>
      <c r="H82" s="119"/>
      <c r="I82" s="49">
        <v>23.83</v>
      </c>
      <c r="J82" s="49">
        <v>23.83</v>
      </c>
      <c r="K82" s="5">
        <f t="shared" si="31"/>
        <v>23.83</v>
      </c>
      <c r="L82" s="5">
        <f>I82-G82</f>
        <v>23.83</v>
      </c>
      <c r="M82" s="5">
        <f>I82-F82</f>
        <v>23.83</v>
      </c>
      <c r="N82" s="5">
        <f t="shared" si="29"/>
        <v>23.83</v>
      </c>
      <c r="O82" s="60">
        <f t="shared" si="22"/>
      </c>
      <c r="P82" s="60">
        <f t="shared" si="23"/>
      </c>
      <c r="Q82" s="60">
        <f t="shared" si="24"/>
      </c>
      <c r="R82" s="123"/>
      <c r="S82" s="123"/>
      <c r="T82" s="10"/>
      <c r="U82" s="10"/>
      <c r="V82" s="107">
        <v>23.83</v>
      </c>
      <c r="W82" s="10">
        <f t="shared" si="32"/>
        <v>23.83</v>
      </c>
      <c r="X82" s="10">
        <f t="shared" si="30"/>
        <v>23.83</v>
      </c>
      <c r="Y82" s="2">
        <v>1</v>
      </c>
    </row>
    <row r="83" spans="1:25" ht="31.5">
      <c r="A83" s="244"/>
      <c r="B83" s="219"/>
      <c r="C83" s="134" t="s">
        <v>102</v>
      </c>
      <c r="D83" s="13" t="s">
        <v>103</v>
      </c>
      <c r="E83" s="49">
        <v>322904.97000000003</v>
      </c>
      <c r="F83" s="163">
        <v>8006.87</v>
      </c>
      <c r="G83" s="9">
        <v>8006.87</v>
      </c>
      <c r="H83" s="9">
        <v>0</v>
      </c>
      <c r="I83" s="166">
        <v>159777.43000000002</v>
      </c>
      <c r="J83" s="166">
        <v>0</v>
      </c>
      <c r="K83" s="5">
        <f t="shared" si="21"/>
        <v>-163127.54</v>
      </c>
      <c r="L83" s="5">
        <f t="shared" si="27"/>
        <v>151770.56000000003</v>
      </c>
      <c r="M83" s="5">
        <f t="shared" si="28"/>
        <v>151770.56000000003</v>
      </c>
      <c r="N83" s="5">
        <f t="shared" si="29"/>
        <v>0</v>
      </c>
      <c r="O83" s="59">
        <f t="shared" si="22"/>
        <v>0.49481254500356564</v>
      </c>
      <c r="P83" s="59">
        <f t="shared" si="23"/>
        <v>19.955042357375607</v>
      </c>
      <c r="Q83" s="59">
        <f t="shared" si="24"/>
        <v>19.955042357375607</v>
      </c>
      <c r="R83" s="123">
        <f aca="true" t="shared" si="33" ref="R83:S86">W83-I83</f>
        <v>0</v>
      </c>
      <c r="S83" s="123">
        <f t="shared" si="33"/>
        <v>0</v>
      </c>
      <c r="T83" s="10">
        <v>159777.43000000002</v>
      </c>
      <c r="U83" s="10">
        <v>0</v>
      </c>
      <c r="V83" s="102"/>
      <c r="W83" s="10">
        <f t="shared" si="32"/>
        <v>159777.43000000002</v>
      </c>
      <c r="X83" s="10">
        <f t="shared" si="30"/>
        <v>0</v>
      </c>
      <c r="Y83" s="2"/>
    </row>
    <row r="84" spans="1:25" ht="15.75">
      <c r="A84" s="244"/>
      <c r="B84" s="219"/>
      <c r="C84" s="134" t="s">
        <v>104</v>
      </c>
      <c r="D84" s="13" t="s">
        <v>105</v>
      </c>
      <c r="E84" s="49">
        <v>-336829.48999999993</v>
      </c>
      <c r="F84" s="162"/>
      <c r="G84" s="5"/>
      <c r="H84" s="5"/>
      <c r="I84" s="166">
        <v>-273455.92</v>
      </c>
      <c r="J84" s="166">
        <v>-4.87</v>
      </c>
      <c r="K84" s="5">
        <f t="shared" si="21"/>
        <v>63373.56999999995</v>
      </c>
      <c r="L84" s="5">
        <f t="shared" si="27"/>
        <v>-273455.92</v>
      </c>
      <c r="M84" s="5">
        <f t="shared" si="28"/>
        <v>-273455.92</v>
      </c>
      <c r="N84" s="5">
        <f t="shared" si="29"/>
        <v>-4.87</v>
      </c>
      <c r="O84" s="59">
        <f t="shared" si="22"/>
        <v>0.8118526676509235</v>
      </c>
      <c r="P84" s="59">
        <f t="shared" si="23"/>
      </c>
      <c r="Q84" s="59">
        <f t="shared" si="24"/>
      </c>
      <c r="R84" s="123">
        <f t="shared" si="33"/>
        <v>0</v>
      </c>
      <c r="S84" s="123">
        <f t="shared" si="33"/>
        <v>0</v>
      </c>
      <c r="T84" s="10">
        <v>-273455.92</v>
      </c>
      <c r="U84" s="10">
        <v>-4.87</v>
      </c>
      <c r="V84" s="102"/>
      <c r="W84" s="10">
        <f t="shared" si="32"/>
        <v>-273455.92</v>
      </c>
      <c r="X84" s="10">
        <f t="shared" si="30"/>
        <v>-4.87</v>
      </c>
      <c r="Y84" s="2"/>
    </row>
    <row r="85" spans="1:25" ht="29.25" customHeight="1">
      <c r="A85" s="235" t="s">
        <v>106</v>
      </c>
      <c r="B85" s="235"/>
      <c r="C85" s="236"/>
      <c r="D85" s="235"/>
      <c r="E85" s="152">
        <f>E73+E75</f>
        <v>13973398.419999998</v>
      </c>
      <c r="F85" s="164">
        <f>F73+F75</f>
        <v>50955716.50000001</v>
      </c>
      <c r="G85" s="93">
        <f>G73+G75</f>
        <v>17197736.5</v>
      </c>
      <c r="H85" s="93">
        <f>H73+H75</f>
        <v>5538511.21</v>
      </c>
      <c r="I85" s="93">
        <f>I73+I75</f>
        <v>14947255.987</v>
      </c>
      <c r="J85" s="93">
        <f>J73+J75</f>
        <v>1865175.417</v>
      </c>
      <c r="K85" s="93">
        <f>K73+K75</f>
        <v>973857.5670000017</v>
      </c>
      <c r="L85" s="64">
        <f t="shared" si="27"/>
        <v>-2250480.5130000003</v>
      </c>
      <c r="M85" s="64">
        <f t="shared" si="28"/>
        <v>-36008460.51300001</v>
      </c>
      <c r="N85" s="64">
        <f t="shared" si="29"/>
        <v>-3673335.793</v>
      </c>
      <c r="O85" s="92">
        <f t="shared" si="22"/>
        <v>1.0696936806443684</v>
      </c>
      <c r="P85" s="92">
        <f t="shared" si="23"/>
        <v>0.8691408888024305</v>
      </c>
      <c r="Q85" s="92">
        <f t="shared" si="24"/>
        <v>0.2933381573979045</v>
      </c>
      <c r="R85" s="125">
        <f t="shared" si="33"/>
        <v>0</v>
      </c>
      <c r="S85" s="125">
        <f t="shared" si="33"/>
        <v>0</v>
      </c>
      <c r="T85" s="94">
        <f>T73+T75</f>
        <v>14739332.910000002</v>
      </c>
      <c r="U85" s="94">
        <f>U73+U75</f>
        <v>1657252.3399999996</v>
      </c>
      <c r="V85" s="94">
        <f>V73+V75</f>
        <v>207923.077</v>
      </c>
      <c r="W85" s="94">
        <f>T85+V85</f>
        <v>14947255.987000002</v>
      </c>
      <c r="X85" s="94">
        <f>U85+V85</f>
        <v>1865175.4169999997</v>
      </c>
      <c r="Y85" s="95"/>
    </row>
    <row r="86" spans="1:25" ht="15.75" hidden="1">
      <c r="A86" s="237" t="s">
        <v>113</v>
      </c>
      <c r="B86" s="237"/>
      <c r="C86" s="237"/>
      <c r="D86" s="237"/>
      <c r="E86" s="64">
        <v>6683833.650000001</v>
      </c>
      <c r="F86" s="64">
        <f>F85-F53-F52-F51</f>
        <v>46409815.29000001</v>
      </c>
      <c r="G86" s="64">
        <f>H86</f>
        <v>5179315.909999999</v>
      </c>
      <c r="H86" s="64">
        <f>H85-H53-H52-H51</f>
        <v>5179315.909999999</v>
      </c>
      <c r="I86" s="64">
        <f>I85-I53-I52-I51</f>
        <v>13258594.637</v>
      </c>
      <c r="J86" s="64">
        <f>J85-J53-J52-J51</f>
        <v>1706118.177</v>
      </c>
      <c r="K86" s="64">
        <f t="shared" si="21"/>
        <v>6574760.986999999</v>
      </c>
      <c r="L86" s="64">
        <f t="shared" si="27"/>
        <v>8079278.727000001</v>
      </c>
      <c r="M86" s="64">
        <f t="shared" si="28"/>
        <v>-33151220.653000005</v>
      </c>
      <c r="N86" s="64">
        <f>I86-H86</f>
        <v>8079278.727000001</v>
      </c>
      <c r="O86" s="118">
        <f>I86/E86</f>
        <v>1.9836811224348765</v>
      </c>
      <c r="P86" s="118">
        <f t="shared" si="23"/>
        <v>2.559912325757322</v>
      </c>
      <c r="Q86" s="60">
        <f t="shared" si="24"/>
        <v>0.2856851412605568</v>
      </c>
      <c r="R86" s="123">
        <f t="shared" si="33"/>
        <v>0</v>
      </c>
      <c r="S86" s="123">
        <f t="shared" si="33"/>
        <v>0</v>
      </c>
      <c r="T86" s="56">
        <f>T85-T53-T52-T51</f>
        <v>13073841.830000002</v>
      </c>
      <c r="U86" s="56">
        <f>U85-U53-U52-U51</f>
        <v>1521365.3699999996</v>
      </c>
      <c r="V86" s="56">
        <f>V85-V53-V52-V51</f>
        <v>184752.80699999997</v>
      </c>
      <c r="W86" s="56">
        <f>T86+V86</f>
        <v>13258594.637000002</v>
      </c>
      <c r="X86" s="56">
        <f>U86+V86</f>
        <v>1706118.1769999997</v>
      </c>
      <c r="Y86" s="15">
        <v>1</v>
      </c>
    </row>
    <row r="87" spans="1:25" ht="15.75">
      <c r="A87" s="30" t="s">
        <v>107</v>
      </c>
      <c r="B87" s="31"/>
      <c r="C87" s="146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4"/>
      <c r="P87" s="35"/>
      <c r="Q87" s="34"/>
      <c r="R87" s="126"/>
      <c r="S87" s="126"/>
      <c r="T87" s="36"/>
      <c r="U87" s="36"/>
      <c r="V87" s="36"/>
      <c r="W87" s="36"/>
      <c r="X87" s="36"/>
      <c r="Y87" s="2"/>
    </row>
    <row r="88" spans="5:25" ht="12.75">
      <c r="E88" s="96"/>
      <c r="R88" s="127"/>
      <c r="S88" s="127"/>
      <c r="V88" s="108"/>
      <c r="W88" s="108"/>
      <c r="X88" s="108"/>
      <c r="Y88" s="88"/>
    </row>
    <row r="89" spans="18:25" ht="12.75">
      <c r="R89" s="127"/>
      <c r="S89" s="127"/>
      <c r="W89" s="108"/>
      <c r="X89" s="108"/>
      <c r="Y89" s="88"/>
    </row>
    <row r="90" spans="23:24" ht="12.75">
      <c r="W90" s="108"/>
      <c r="X90" s="108"/>
    </row>
  </sheetData>
  <sheetProtection/>
  <autoFilter ref="A4:Y88"/>
  <mergeCells count="43">
    <mergeCell ref="B62:B63"/>
    <mergeCell ref="A62:A63"/>
    <mergeCell ref="A85:D85"/>
    <mergeCell ref="A86:D86"/>
    <mergeCell ref="A64:A72"/>
    <mergeCell ref="B64:B72"/>
    <mergeCell ref="A73:D73"/>
    <mergeCell ref="A74:D74"/>
    <mergeCell ref="A75:A84"/>
    <mergeCell ref="B75:B84"/>
    <mergeCell ref="A1:Q1"/>
    <mergeCell ref="T2:X2"/>
    <mergeCell ref="A3:A4"/>
    <mergeCell ref="B3:B4"/>
    <mergeCell ref="C3:C4"/>
    <mergeCell ref="D3:D4"/>
    <mergeCell ref="E3:E4"/>
    <mergeCell ref="F3:H3"/>
    <mergeCell ref="P3:P4"/>
    <mergeCell ref="Q3:Q4"/>
    <mergeCell ref="T3:U3"/>
    <mergeCell ref="W3:X3"/>
    <mergeCell ref="A60:A61"/>
    <mergeCell ref="B60:B61"/>
    <mergeCell ref="A30:A37"/>
    <mergeCell ref="B30:B37"/>
    <mergeCell ref="A38:A47"/>
    <mergeCell ref="B38:B47"/>
    <mergeCell ref="A48:A49"/>
    <mergeCell ref="B48:B49"/>
    <mergeCell ref="A50:A55"/>
    <mergeCell ref="B50:B55"/>
    <mergeCell ref="A56:A59"/>
    <mergeCell ref="B56:B59"/>
    <mergeCell ref="A27:A29"/>
    <mergeCell ref="B27:B29"/>
    <mergeCell ref="I3:J3"/>
    <mergeCell ref="K3:N3"/>
    <mergeCell ref="O3:O4"/>
    <mergeCell ref="A23:A26"/>
    <mergeCell ref="B23:B26"/>
    <mergeCell ref="A6:A17"/>
    <mergeCell ref="A22:C22"/>
  </mergeCells>
  <printOptions/>
  <pageMargins left="0" right="0" top="0" bottom="0" header="0.31496062992125984" footer="0.31496062992125984"/>
  <pageSetup fitToHeight="0" fitToWidth="1" horizontalDpi="600" verticalDpi="600" orientation="landscape" paperSize="9" scale="56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2023-05-12T09:45:38Z</cp:lastPrinted>
  <dcterms:created xsi:type="dcterms:W3CDTF">2015-02-26T11:08:47Z</dcterms:created>
  <dcterms:modified xsi:type="dcterms:W3CDTF">2023-05-15T07:15:18Z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