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28.08.2023" sheetId="1" r:id="rId1"/>
  </sheets>
  <definedNames>
    <definedName name="_xlfn.IFERROR" hidden="1">#NAME?</definedName>
    <definedName name="_xlnm._FilterDatabase" localSheetId="0" hidden="1">'28.08.2023'!$A$4:$P$83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'28.08.2023'!$3:$4</definedName>
    <definedName name="о">#REF!</definedName>
    <definedName name="_xlnm.Print_Area" localSheetId="0">'28.08.2023'!$A$1:$P$82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<sst xmlns="http://schemas.openxmlformats.org/spreadsheetml/2006/main" count="134" uniqueCount="108">
  <si>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</si>
  <si>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</si>
  <si>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</si>
  <si>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</si>
  <si>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</si>
  <si>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</si>
  <si>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</si>
  <si>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</si>
  <si>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</si>
  <si>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</si>
  <si>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</si>
  <si>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</si>
  <si>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</si>
  <si>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</si>
  <si>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</si>
  <si>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</si>
  <si>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</si>
  <si>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</si>
  <si>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</si>
  <si>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</si>
  <si>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</si>
  <si>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</si>
  <si>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</si>
  <si>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</si>
  <si>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</si>
  <si>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</si>
  <si>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</si>
  <si>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</si>
  <si>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</si>
  <si>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</si>
  <si>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</si>
  <si>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</si>
  <si>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</si>
  <si>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</si>
  <si>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</si>
  <si>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</si>
  <si>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</si>
  <si>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</si>
  <si>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</si>
  <si>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</si>
  <si>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</si>
  <si>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</si>
  <si>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</si>
  <si>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</si>
  <si>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</si>
  <si>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</si>
  <si>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</si>
  <si>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</si>
  <si>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</si>
  <si>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</si>
  <si>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</si>
  <si>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</si>
  <si>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</si>
  <si>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</si>
  <si>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</si>
  <si>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</si>
  <si>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</si>
  <si>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</si>
  <si>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</si>
  <si>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</si>
  <si>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</si>
  <si>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</si>
  <si>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</si>
  <si>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</si>
  <si>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</si>
  <si>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</si>
  <si>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</si>
  <si>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</si>
  <si>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</si>
  <si>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</si>
  <si>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</si>
  <si>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</si>
  <si>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</si>
  <si>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</si>
  <si>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</si>
  <si>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</si>
  <si>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</si>
  <si>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</si>
  <si>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</si>
  <si>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</si>
  <si>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</si>
  <si>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</si>
  <si>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</si>
  <si>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</si>
  <si>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</si>
  <si>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</si>
  <si>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</si>
  <si>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</si>
  <si>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</si>
  <si>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</si>
  <si>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</si>
  <si>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</si>
  <si>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</si>
  <si>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</si>
  <si>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</si>
  <si>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</si>
  <si>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</si>
  <si>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</si>
  <si>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</si>
  <si>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</si>
  <si>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</si>
  <si>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</si>
  <si>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</si>
  <si>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январь-август</t>
  </si>
  <si>
    <t>август</t>
  </si>
  <si>
    <t>факта за август от плана августа</t>
  </si>
  <si>
    <t>Факт с нач. 2022 года      (по 25.08.22 вкл.)</t>
  </si>
  <si>
    <t>с нач. года на 28.08.2023 (по 25.08.2023 вкл.)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</si>
</sst>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dd/mm/yyyy\ hh:mm"/>
    <numFmt numFmtId="169" formatCode="0.0"/>
  </numFmts>
  <fonts count="41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7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9" fontId="5" fillId="0" borderId="12" xfId="0" applyNumberFormat="1" applyFont="1" applyFill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horizontal="right" wrapText="1"/>
    </xf>
    <xf numFmtId="169" fontId="3" fillId="0" borderId="11" xfId="0" applyNumberFormat="1" applyFont="1" applyFill="1" applyBorder="1" applyAlignment="1">
      <alignment horizontal="right" wrapText="1"/>
    </xf>
    <xf numFmtId="169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4" fontId="3" fillId="33" borderId="11" xfId="0" applyNumberFormat="1" applyFont="1" applyFill="1" applyBorder="1" applyAlignment="1">
      <alignment wrapText="1"/>
    </xf>
    <xf numFmtId="0" fontId="2" fillId="0" borderId="0" xfId="141">
      <alignment/>
      <protection/>
    </xf>
    <xf numFmtId="166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69" fontId="4" fillId="0" borderId="13" xfId="0" applyNumberFormat="1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9" fontId="4" fillId="0" borderId="11" xfId="147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1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9" xfId="142"/>
    <cellStyle name="Плохой" xfId="143"/>
    <cellStyle name="Пояснение" xfId="144"/>
    <cellStyle name="Примечание" xfId="145"/>
    <cellStyle name="Percent" xfId="146"/>
    <cellStyle name="Процентный 2" xfId="147"/>
    <cellStyle name="Процентный 2 2" xfId="148"/>
    <cellStyle name="Связанная ячейка" xfId="149"/>
    <cellStyle name="Текст предупреждения" xfId="150"/>
    <cellStyle name="Comma" xfId="151"/>
    <cellStyle name="Comma [0]" xfId="152"/>
    <cellStyle name="Финансовый 2" xfId="153"/>
    <cellStyle name="Финансовый 3" xfId="154"/>
    <cellStyle name="Хороший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zoomScale="89" zoomScaleNormal="89" zoomScalePageLayoutView="0" workbookViewId="0" topLeftCell="A1">
      <pane xSplit="3" ySplit="4" topLeftCell="D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76" sqref="I76"/>
    </sheetView>
  </sheetViews>
  <sheetFormatPr defaultColWidth="9.00390625" defaultRowHeight="12.75"/>
  <cols>
    <col min="1" max="2" width="9.125" style="48" customWidth="1"/>
    <col min="3" max="3" width="67.625" style="48" customWidth="1"/>
    <col min="4" max="4" width="14.625" style="51" customWidth="1"/>
    <col min="5" max="5" width="15.625" style="48" customWidth="1"/>
    <col min="6" max="6" width="14.75390625" style="86" customWidth="1"/>
    <col min="7" max="7" width="13.00390625" style="86" customWidth="1"/>
    <col min="8" max="8" width="16.25390625" style="66" customWidth="1"/>
    <col min="9" max="9" width="13.875" style="66" customWidth="1"/>
    <col min="10" max="10" width="15.125" style="48" customWidth="1"/>
    <col min="11" max="11" width="14.375" style="48" customWidth="1"/>
    <col min="12" max="12" width="15.625" style="48" customWidth="1"/>
    <col min="13" max="13" width="13.75390625" style="48" customWidth="1"/>
    <col min="14" max="14" width="11.75390625" style="48" customWidth="1"/>
    <col min="15" max="15" width="11.125" style="48" customWidth="1"/>
    <col min="16" max="16" width="11.875" style="48" customWidth="1"/>
    <col min="17" max="16384" width="9.125" style="48" customWidth="1"/>
  </cols>
  <sheetData>
    <row r="1" spans="1:16" ht="20.25">
      <c r="A1" s="117" t="s">
        <v>88</v>
      </c>
      <c r="B1" s="117"/>
      <c r="C1" s="117"/>
      <c r="D1" s="117"/>
      <c r="E1" s="117"/>
      <c r="F1" s="118"/>
      <c r="G1" s="118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20.25" customHeight="1">
      <c r="A2" s="29"/>
      <c r="B2" s="30"/>
      <c r="C2" s="27"/>
      <c r="D2" s="54"/>
      <c r="E2" s="27"/>
      <c r="F2" s="54"/>
      <c r="G2" s="54"/>
      <c r="H2" s="59"/>
      <c r="I2" s="59"/>
      <c r="J2" s="27"/>
      <c r="K2" s="27"/>
      <c r="L2" s="27"/>
      <c r="M2" s="27"/>
      <c r="N2" s="27"/>
      <c r="O2" s="26"/>
      <c r="P2" s="26" t="s">
        <v>0</v>
      </c>
    </row>
    <row r="3" spans="1:16" ht="20.25" customHeight="1">
      <c r="A3" s="119" t="s">
        <v>1</v>
      </c>
      <c r="B3" s="120" t="s">
        <v>2</v>
      </c>
      <c r="C3" s="121" t="s">
        <v>3</v>
      </c>
      <c r="D3" s="123" t="s">
        <v>106</v>
      </c>
      <c r="E3" s="93" t="s">
        <v>87</v>
      </c>
      <c r="F3" s="94"/>
      <c r="G3" s="95"/>
      <c r="H3" s="91" t="s">
        <v>89</v>
      </c>
      <c r="I3" s="92"/>
      <c r="J3" s="93" t="s">
        <v>4</v>
      </c>
      <c r="K3" s="94"/>
      <c r="L3" s="94"/>
      <c r="M3" s="95"/>
      <c r="N3" s="96" t="s">
        <v>101</v>
      </c>
      <c r="O3" s="125" t="s">
        <v>99</v>
      </c>
      <c r="P3" s="96" t="s">
        <v>100</v>
      </c>
    </row>
    <row r="4" spans="1:16" ht="63">
      <c r="A4" s="119"/>
      <c r="B4" s="120"/>
      <c r="C4" s="122"/>
      <c r="D4" s="124"/>
      <c r="E4" s="1" t="s">
        <v>84</v>
      </c>
      <c r="F4" s="1" t="s">
        <v>103</v>
      </c>
      <c r="G4" s="1" t="s">
        <v>104</v>
      </c>
      <c r="H4" s="60" t="s">
        <v>107</v>
      </c>
      <c r="I4" s="61" t="s">
        <v>104</v>
      </c>
      <c r="J4" s="1" t="s">
        <v>90</v>
      </c>
      <c r="K4" s="1" t="s">
        <v>5</v>
      </c>
      <c r="L4" s="1" t="s">
        <v>91</v>
      </c>
      <c r="M4" s="1" t="s">
        <v>105</v>
      </c>
      <c r="N4" s="96"/>
      <c r="O4" s="125"/>
      <c r="P4" s="96"/>
    </row>
    <row r="5" spans="1:16" ht="25.5" customHeight="1">
      <c r="A5" s="67"/>
      <c r="B5" s="68"/>
      <c r="C5" s="69" t="s">
        <v>6</v>
      </c>
      <c r="D5" s="44">
        <f>D17+D19+D21+D18+D20</f>
        <v>9955855.569999997</v>
      </c>
      <c r="E5" s="44">
        <f>E17+E19+E21+E18+E20</f>
        <v>20002935.000000004</v>
      </c>
      <c r="F5" s="44">
        <f>F17+F19+F21+F18+F20</f>
        <v>11229069</v>
      </c>
      <c r="G5" s="44">
        <f>G17+G19+G21+G18+G20</f>
        <v>1276377.7999999998</v>
      </c>
      <c r="H5" s="44">
        <f>H17+H19+H21+H18+H20</f>
        <v>9993570.129999997</v>
      </c>
      <c r="I5" s="44">
        <f>I17+I19+I21+I18+I20</f>
        <v>267725.01999999996</v>
      </c>
      <c r="J5" s="70">
        <f>H5-D5</f>
        <v>37714.56000000052</v>
      </c>
      <c r="K5" s="70">
        <f>H5-F5</f>
        <v>-1235498.870000003</v>
      </c>
      <c r="L5" s="70">
        <f>H5-E5</f>
        <v>-10009364.870000007</v>
      </c>
      <c r="M5" s="70">
        <f>I5-G5</f>
        <v>-1008652.7799999998</v>
      </c>
      <c r="N5" s="71">
        <f aca="true" t="shared" si="0" ref="N5:N36">_xlfn.IFERROR(H5/D5,"")</f>
        <v>1.0037881786989404</v>
      </c>
      <c r="O5" s="71">
        <f aca="true" t="shared" si="1" ref="O5:O36">_xlfn.IFERROR(H5/F5,"")</f>
        <v>0.8899731696367702</v>
      </c>
      <c r="P5" s="71">
        <f aca="true" t="shared" si="2" ref="P5:P36">_xlfn.IFERROR(H5/E5,"")</f>
        <v>0.49960518943844967</v>
      </c>
    </row>
    <row r="6" spans="1:16" ht="18" customHeight="1">
      <c r="A6" s="103" t="s">
        <v>10</v>
      </c>
      <c r="B6" s="55" t="s">
        <v>11</v>
      </c>
      <c r="C6" s="4" t="s">
        <v>12</v>
      </c>
      <c r="D6" s="33">
        <v>7552421.119999998</v>
      </c>
      <c r="E6" s="5">
        <f>14235121.9+613644.6</f>
        <v>14848766.5</v>
      </c>
      <c r="F6" s="5">
        <v>8425302.2</v>
      </c>
      <c r="G6" s="5">
        <v>1152227.9</v>
      </c>
      <c r="H6" s="5">
        <v>7522473.919999998</v>
      </c>
      <c r="I6" s="5">
        <v>187230.96</v>
      </c>
      <c r="J6" s="5">
        <f aca="true" t="shared" si="3" ref="J6:J59">H6-D6</f>
        <v>-29947.200000000186</v>
      </c>
      <c r="K6" s="5">
        <f aca="true" t="shared" si="4" ref="K6:K66">H6-F6</f>
        <v>-902828.2800000012</v>
      </c>
      <c r="L6" s="5">
        <f aca="true" t="shared" si="5" ref="L6:L66">H6-E6</f>
        <v>-7326292.580000002</v>
      </c>
      <c r="M6" s="5">
        <f>I6-G6</f>
        <v>-964996.94</v>
      </c>
      <c r="N6" s="38">
        <f t="shared" si="0"/>
        <v>0.9960347550111188</v>
      </c>
      <c r="O6" s="38">
        <f t="shared" si="1"/>
        <v>0.8928432169471617</v>
      </c>
      <c r="P6" s="38">
        <f t="shared" si="2"/>
        <v>0.5066059810422635</v>
      </c>
    </row>
    <row r="7" spans="1:16" ht="18" customHeight="1">
      <c r="A7" s="98"/>
      <c r="B7" s="55" t="s">
        <v>7</v>
      </c>
      <c r="C7" s="2" t="s">
        <v>8</v>
      </c>
      <c r="D7" s="32">
        <v>41838.42999999999</v>
      </c>
      <c r="E7" s="3">
        <v>80057.5</v>
      </c>
      <c r="F7" s="3">
        <v>51550</v>
      </c>
      <c r="G7" s="3">
        <v>7220</v>
      </c>
      <c r="H7" s="5">
        <v>44114.87</v>
      </c>
      <c r="I7" s="5">
        <v>83</v>
      </c>
      <c r="J7" s="3">
        <f>H7-D7</f>
        <v>2276.4400000000096</v>
      </c>
      <c r="K7" s="3">
        <f>H7-F7</f>
        <v>-7435.129999999997</v>
      </c>
      <c r="L7" s="3">
        <f>H7-E7</f>
        <v>-35942.63</v>
      </c>
      <c r="M7" s="3">
        <f>I7-G7</f>
        <v>-7137</v>
      </c>
      <c r="N7" s="38">
        <f t="shared" si="0"/>
        <v>1.0544102634826404</v>
      </c>
      <c r="O7" s="38">
        <f t="shared" si="1"/>
        <v>0.855768574199806</v>
      </c>
      <c r="P7" s="38">
        <f t="shared" si="2"/>
        <v>0.5510398151328733</v>
      </c>
    </row>
    <row r="8" spans="1:16" ht="18" customHeight="1">
      <c r="A8" s="98"/>
      <c r="B8" s="55" t="s">
        <v>11</v>
      </c>
      <c r="C8" s="34" t="s">
        <v>92</v>
      </c>
      <c r="D8" s="33"/>
      <c r="E8" s="33">
        <v>1204375.9</v>
      </c>
      <c r="F8" s="33">
        <v>899375.9</v>
      </c>
      <c r="G8" s="33">
        <v>50000</v>
      </c>
      <c r="H8" s="5">
        <v>758430.1799999997</v>
      </c>
      <c r="I8" s="5">
        <v>31392.609999999997</v>
      </c>
      <c r="J8" s="5">
        <f>H8-D8</f>
        <v>758430.1799999997</v>
      </c>
      <c r="K8" s="5">
        <f>H8-F8</f>
        <v>-140945.72000000032</v>
      </c>
      <c r="L8" s="5">
        <f>H8-E8</f>
        <v>-445945.7200000002</v>
      </c>
      <c r="M8" s="5">
        <f aca="true" t="shared" si="6" ref="M8:M66">I8-G8</f>
        <v>-18607.390000000003</v>
      </c>
      <c r="N8" s="38">
        <f>_xlfn.IFERROR(H8/D8,"")</f>
      </c>
      <c r="O8" s="38">
        <f t="shared" si="1"/>
        <v>0.8432849712784162</v>
      </c>
      <c r="P8" s="38">
        <f t="shared" si="2"/>
        <v>0.6297287914844525</v>
      </c>
    </row>
    <row r="9" spans="1:16" ht="18" customHeight="1">
      <c r="A9" s="98"/>
      <c r="B9" s="55" t="s">
        <v>11</v>
      </c>
      <c r="C9" s="4" t="s">
        <v>13</v>
      </c>
      <c r="D9" s="33">
        <v>100.57000000000004</v>
      </c>
      <c r="E9" s="5"/>
      <c r="F9" s="5"/>
      <c r="G9" s="5"/>
      <c r="H9" s="5">
        <v>-1746.82</v>
      </c>
      <c r="I9" s="5">
        <v>55.96</v>
      </c>
      <c r="J9" s="5">
        <f>H9-D9</f>
        <v>-1847.3899999999999</v>
      </c>
      <c r="K9" s="5">
        <f>H9-F9</f>
        <v>-1746.82</v>
      </c>
      <c r="L9" s="5">
        <f t="shared" si="5"/>
        <v>-1746.82</v>
      </c>
      <c r="M9" s="5">
        <f t="shared" si="6"/>
        <v>55.96</v>
      </c>
      <c r="N9" s="38">
        <f>_xlfn.IFERROR(H9/D9,"")</f>
        <v>-17.369195585164555</v>
      </c>
      <c r="O9" s="38">
        <f t="shared" si="1"/>
      </c>
      <c r="P9" s="38">
        <f t="shared" si="2"/>
      </c>
    </row>
    <row r="10" spans="1:16" ht="18" customHeight="1">
      <c r="A10" s="98"/>
      <c r="B10" s="55" t="s">
        <v>11</v>
      </c>
      <c r="C10" s="4" t="s">
        <v>14</v>
      </c>
      <c r="D10" s="33">
        <v>4075.88</v>
      </c>
      <c r="E10" s="5">
        <v>4690.3</v>
      </c>
      <c r="F10" s="5">
        <v>4690.3</v>
      </c>
      <c r="G10" s="5">
        <v>1969.9</v>
      </c>
      <c r="H10" s="5">
        <v>-1429.1</v>
      </c>
      <c r="I10" s="5">
        <v>9.04</v>
      </c>
      <c r="J10" s="5">
        <f t="shared" si="3"/>
        <v>-5504.98</v>
      </c>
      <c r="K10" s="5">
        <f t="shared" si="4"/>
        <v>-6119.4</v>
      </c>
      <c r="L10" s="5">
        <f t="shared" si="5"/>
        <v>-6119.4</v>
      </c>
      <c r="M10" s="5">
        <f t="shared" si="6"/>
        <v>-1960.8600000000001</v>
      </c>
      <c r="N10" s="38">
        <f t="shared" si="0"/>
        <v>-0.35062366899908726</v>
      </c>
      <c r="O10" s="38">
        <f t="shared" si="1"/>
        <v>-0.3046926635822868</v>
      </c>
      <c r="P10" s="38">
        <f t="shared" si="2"/>
        <v>-0.3046926635822868</v>
      </c>
    </row>
    <row r="11" spans="1:16" ht="18" customHeight="1">
      <c r="A11" s="98"/>
      <c r="B11" s="55" t="s">
        <v>11</v>
      </c>
      <c r="C11" s="4" t="s">
        <v>94</v>
      </c>
      <c r="D11" s="33">
        <v>133253.94999999998</v>
      </c>
      <c r="E11" s="5">
        <v>314766.5</v>
      </c>
      <c r="F11" s="5">
        <v>157893</v>
      </c>
      <c r="G11" s="5">
        <v>1490</v>
      </c>
      <c r="H11" s="5">
        <v>124678.24</v>
      </c>
      <c r="I11" s="5">
        <v>2261.74</v>
      </c>
      <c r="J11" s="5">
        <f t="shared" si="3"/>
        <v>-8575.709999999977</v>
      </c>
      <c r="K11" s="5">
        <f t="shared" si="4"/>
        <v>-33214.759999999995</v>
      </c>
      <c r="L11" s="5">
        <f t="shared" si="5"/>
        <v>-190088.26</v>
      </c>
      <c r="M11" s="5">
        <f t="shared" si="6"/>
        <v>771.7399999999998</v>
      </c>
      <c r="N11" s="38">
        <f t="shared" si="0"/>
        <v>0.93564385896253</v>
      </c>
      <c r="O11" s="38">
        <f t="shared" si="1"/>
        <v>0.7896375393462661</v>
      </c>
      <c r="P11" s="38">
        <f t="shared" si="2"/>
        <v>0.3960975516771956</v>
      </c>
    </row>
    <row r="12" spans="1:16" ht="18" customHeight="1">
      <c r="A12" s="98"/>
      <c r="B12" s="55" t="s">
        <v>15</v>
      </c>
      <c r="C12" s="4" t="s">
        <v>16</v>
      </c>
      <c r="D12" s="33">
        <v>66645.46999999999</v>
      </c>
      <c r="E12" s="5">
        <v>1083466.2</v>
      </c>
      <c r="F12" s="5">
        <v>86700</v>
      </c>
      <c r="G12" s="5">
        <v>9600</v>
      </c>
      <c r="H12" s="5">
        <v>48786.76</v>
      </c>
      <c r="I12" s="5">
        <v>4236.69</v>
      </c>
      <c r="J12" s="5">
        <f t="shared" si="3"/>
        <v>-17858.709999999985</v>
      </c>
      <c r="K12" s="5">
        <f t="shared" si="4"/>
        <v>-37913.24</v>
      </c>
      <c r="L12" s="5">
        <f t="shared" si="5"/>
        <v>-1034679.44</v>
      </c>
      <c r="M12" s="5">
        <f t="shared" si="6"/>
        <v>-5363.31</v>
      </c>
      <c r="N12" s="38">
        <f t="shared" si="0"/>
        <v>0.7320341502580747</v>
      </c>
      <c r="O12" s="38">
        <f t="shared" si="1"/>
        <v>0.5627077277970012</v>
      </c>
      <c r="P12" s="38">
        <f t="shared" si="2"/>
        <v>0.0450284097464231</v>
      </c>
    </row>
    <row r="13" spans="1:16" ht="18" customHeight="1">
      <c r="A13" s="98"/>
      <c r="B13" s="55" t="s">
        <v>76</v>
      </c>
      <c r="C13" s="4" t="s">
        <v>97</v>
      </c>
      <c r="D13" s="33">
        <v>494842.0200000001</v>
      </c>
      <c r="E13" s="5"/>
      <c r="F13" s="5"/>
      <c r="G13" s="5"/>
      <c r="H13" s="5">
        <v>0</v>
      </c>
      <c r="I13" s="5">
        <v>0</v>
      </c>
      <c r="J13" s="5">
        <f t="shared" si="3"/>
        <v>-494842.0200000001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38">
        <f t="shared" si="0"/>
        <v>0</v>
      </c>
      <c r="O13" s="38">
        <f t="shared" si="1"/>
      </c>
      <c r="P13" s="38">
        <f t="shared" si="2"/>
      </c>
    </row>
    <row r="14" spans="1:16" ht="18" customHeight="1">
      <c r="A14" s="98"/>
      <c r="B14" s="55" t="s">
        <v>15</v>
      </c>
      <c r="C14" s="4" t="s">
        <v>17</v>
      </c>
      <c r="D14" s="33">
        <v>1518512.9</v>
      </c>
      <c r="E14" s="5">
        <v>2237196.9</v>
      </c>
      <c r="F14" s="5">
        <v>1456400</v>
      </c>
      <c r="G14" s="5">
        <v>34000</v>
      </c>
      <c r="H14" s="5">
        <v>1370304.5699999998</v>
      </c>
      <c r="I14" s="5">
        <v>27555.75</v>
      </c>
      <c r="J14" s="5">
        <f t="shared" si="3"/>
        <v>-148208.33000000007</v>
      </c>
      <c r="K14" s="5">
        <f t="shared" si="4"/>
        <v>-86095.43000000017</v>
      </c>
      <c r="L14" s="5">
        <f t="shared" si="5"/>
        <v>-866892.3300000001</v>
      </c>
      <c r="M14" s="5">
        <f t="shared" si="6"/>
        <v>-6444.25</v>
      </c>
      <c r="N14" s="38">
        <f t="shared" si="0"/>
        <v>0.9023990313154402</v>
      </c>
      <c r="O14" s="38">
        <f t="shared" si="1"/>
        <v>0.9408847638011534</v>
      </c>
      <c r="P14" s="38">
        <f t="shared" si="2"/>
        <v>0.6125095962720134</v>
      </c>
    </row>
    <row r="15" spans="1:16" ht="18" customHeight="1">
      <c r="A15" s="98"/>
      <c r="B15" s="55" t="s">
        <v>18</v>
      </c>
      <c r="C15" s="4" t="s">
        <v>19</v>
      </c>
      <c r="D15" s="33">
        <v>143323.37</v>
      </c>
      <c r="E15" s="5">
        <v>228385.6</v>
      </c>
      <c r="F15" s="5">
        <v>146320.6</v>
      </c>
      <c r="G15" s="5">
        <v>19740</v>
      </c>
      <c r="H15" s="5">
        <v>127733.49</v>
      </c>
      <c r="I15" s="5">
        <v>14875.27</v>
      </c>
      <c r="J15" s="5">
        <f t="shared" si="3"/>
        <v>-15589.87999999999</v>
      </c>
      <c r="K15" s="5">
        <f t="shared" si="4"/>
        <v>-18587.11</v>
      </c>
      <c r="L15" s="5">
        <f t="shared" si="5"/>
        <v>-100652.11</v>
      </c>
      <c r="M15" s="5">
        <f t="shared" si="6"/>
        <v>-4864.73</v>
      </c>
      <c r="N15" s="38">
        <f t="shared" si="0"/>
        <v>0.8912258342795039</v>
      </c>
      <c r="O15" s="38">
        <f t="shared" si="1"/>
        <v>0.8729699714189253</v>
      </c>
      <c r="P15" s="38">
        <f t="shared" si="2"/>
        <v>0.5592887204797501</v>
      </c>
    </row>
    <row r="16" spans="1:16" ht="18" customHeight="1">
      <c r="A16" s="98"/>
      <c r="B16" s="55" t="s">
        <v>15</v>
      </c>
      <c r="C16" s="4" t="s">
        <v>20</v>
      </c>
      <c r="D16" s="33">
        <v>18.060000000000002</v>
      </c>
      <c r="E16" s="5"/>
      <c r="F16" s="5"/>
      <c r="G16" s="5"/>
      <c r="H16" s="5">
        <v>-0.1</v>
      </c>
      <c r="I16" s="5">
        <v>0</v>
      </c>
      <c r="J16" s="5">
        <f t="shared" si="3"/>
        <v>-18.160000000000004</v>
      </c>
      <c r="K16" s="5">
        <f t="shared" si="4"/>
        <v>-0.1</v>
      </c>
      <c r="L16" s="5">
        <f t="shared" si="5"/>
        <v>-0.1</v>
      </c>
      <c r="M16" s="5">
        <f t="shared" si="6"/>
        <v>0</v>
      </c>
      <c r="N16" s="38">
        <f t="shared" si="0"/>
        <v>-0.005537098560354374</v>
      </c>
      <c r="O16" s="38">
        <f t="shared" si="1"/>
      </c>
      <c r="P16" s="38">
        <f t="shared" si="2"/>
      </c>
    </row>
    <row r="17" spans="1:16" ht="18" customHeight="1">
      <c r="A17" s="99"/>
      <c r="B17" s="72"/>
      <c r="C17" s="73" t="s">
        <v>9</v>
      </c>
      <c r="D17" s="28">
        <f>SUM(D6:D16)</f>
        <v>9955031.769999998</v>
      </c>
      <c r="E17" s="28">
        <f>SUM(E6:E16)</f>
        <v>20001705.400000002</v>
      </c>
      <c r="F17" s="28">
        <f>SUM(F6:F16)</f>
        <v>11228232</v>
      </c>
      <c r="G17" s="28">
        <f>SUM(G6:G16)</f>
        <v>1276247.7999999998</v>
      </c>
      <c r="H17" s="28">
        <f>SUM(H6:H16)</f>
        <v>9993346.009999998</v>
      </c>
      <c r="I17" s="28">
        <f>SUM(I6:I16)</f>
        <v>267701.01999999996</v>
      </c>
      <c r="J17" s="28">
        <f t="shared" si="3"/>
        <v>38314.24000000022</v>
      </c>
      <c r="K17" s="28">
        <f t="shared" si="4"/>
        <v>-1234885.990000002</v>
      </c>
      <c r="L17" s="28">
        <f t="shared" si="5"/>
        <v>-10008359.390000004</v>
      </c>
      <c r="M17" s="28">
        <f>I17-G17</f>
        <v>-1008546.7799999998</v>
      </c>
      <c r="N17" s="74">
        <f t="shared" si="0"/>
        <v>1.003848731062362</v>
      </c>
      <c r="O17" s="74">
        <f t="shared" si="1"/>
        <v>0.8900195516088373</v>
      </c>
      <c r="P17" s="74">
        <f t="shared" si="2"/>
        <v>0.49962469750204386</v>
      </c>
    </row>
    <row r="18" spans="1:16" ht="18" customHeight="1">
      <c r="A18" s="56" t="s">
        <v>73</v>
      </c>
      <c r="B18" s="55" t="s">
        <v>22</v>
      </c>
      <c r="C18" s="4" t="s">
        <v>23</v>
      </c>
      <c r="D18" s="33">
        <v>56</v>
      </c>
      <c r="E18" s="5">
        <v>140</v>
      </c>
      <c r="F18" s="5">
        <v>90</v>
      </c>
      <c r="G18" s="5">
        <v>10</v>
      </c>
      <c r="H18" s="5">
        <v>40</v>
      </c>
      <c r="I18" s="5">
        <v>0</v>
      </c>
      <c r="J18" s="5">
        <f t="shared" si="3"/>
        <v>-16</v>
      </c>
      <c r="K18" s="5">
        <f t="shared" si="4"/>
        <v>-50</v>
      </c>
      <c r="L18" s="5">
        <f t="shared" si="5"/>
        <v>-100</v>
      </c>
      <c r="M18" s="5">
        <f t="shared" si="6"/>
        <v>-10</v>
      </c>
      <c r="N18" s="38">
        <f t="shared" si="0"/>
        <v>0.7142857142857143</v>
      </c>
      <c r="O18" s="38">
        <f t="shared" si="1"/>
        <v>0.4444444444444444</v>
      </c>
      <c r="P18" s="38">
        <f t="shared" si="2"/>
        <v>0.2857142857142857</v>
      </c>
    </row>
    <row r="19" spans="1:16" ht="30.75" customHeight="1">
      <c r="A19" s="56" t="s">
        <v>21</v>
      </c>
      <c r="B19" s="55" t="s">
        <v>22</v>
      </c>
      <c r="C19" s="4" t="s">
        <v>93</v>
      </c>
      <c r="D19" s="33">
        <v>142.2</v>
      </c>
      <c r="E19" s="5">
        <v>0</v>
      </c>
      <c r="F19" s="5">
        <v>0</v>
      </c>
      <c r="G19" s="5">
        <v>0</v>
      </c>
      <c r="H19" s="5">
        <v>96.6</v>
      </c>
      <c r="I19" s="5">
        <v>19</v>
      </c>
      <c r="J19" s="5">
        <f t="shared" si="3"/>
        <v>-45.599999999999994</v>
      </c>
      <c r="K19" s="5">
        <f t="shared" si="4"/>
        <v>96.6</v>
      </c>
      <c r="L19" s="5">
        <f t="shared" si="5"/>
        <v>96.6</v>
      </c>
      <c r="M19" s="5">
        <f t="shared" si="6"/>
        <v>19</v>
      </c>
      <c r="N19" s="38">
        <f t="shared" si="0"/>
        <v>0.679324894514768</v>
      </c>
      <c r="O19" s="38">
        <f t="shared" si="1"/>
      </c>
      <c r="P19" s="38">
        <f t="shared" si="2"/>
      </c>
    </row>
    <row r="20" spans="1:16" ht="31.5">
      <c r="A20" s="57" t="s">
        <v>25</v>
      </c>
      <c r="B20" s="58" t="s">
        <v>75</v>
      </c>
      <c r="C20" s="4" t="s">
        <v>26</v>
      </c>
      <c r="D20" s="33">
        <v>585.6</v>
      </c>
      <c r="E20" s="5">
        <v>969.6</v>
      </c>
      <c r="F20" s="5">
        <v>677</v>
      </c>
      <c r="G20" s="5">
        <v>105</v>
      </c>
      <c r="H20" s="5">
        <v>-2.48</v>
      </c>
      <c r="I20" s="5">
        <v>0</v>
      </c>
      <c r="J20" s="5">
        <f t="shared" si="3"/>
        <v>-588.08</v>
      </c>
      <c r="K20" s="5">
        <f t="shared" si="4"/>
        <v>-679.48</v>
      </c>
      <c r="L20" s="5">
        <f t="shared" si="5"/>
        <v>-972.08</v>
      </c>
      <c r="M20" s="5">
        <f t="shared" si="6"/>
        <v>-105</v>
      </c>
      <c r="N20" s="38">
        <f t="shared" si="0"/>
        <v>-0.004234972677595628</v>
      </c>
      <c r="O20" s="38">
        <f t="shared" si="1"/>
        <v>-0.0036632200886262925</v>
      </c>
      <c r="P20" s="38">
        <f t="shared" si="2"/>
        <v>-0.0025577557755775576</v>
      </c>
    </row>
    <row r="21" spans="1:16" ht="18" customHeight="1">
      <c r="A21" s="56" t="s">
        <v>24</v>
      </c>
      <c r="B21" s="55" t="s">
        <v>11</v>
      </c>
      <c r="C21" s="4" t="s">
        <v>77</v>
      </c>
      <c r="D21" s="33">
        <v>40</v>
      </c>
      <c r="E21" s="5">
        <v>120</v>
      </c>
      <c r="F21" s="5">
        <v>70</v>
      </c>
      <c r="G21" s="5">
        <v>15</v>
      </c>
      <c r="H21" s="5">
        <v>90</v>
      </c>
      <c r="I21" s="5">
        <v>5</v>
      </c>
      <c r="J21" s="5">
        <f t="shared" si="3"/>
        <v>50</v>
      </c>
      <c r="K21" s="5">
        <f t="shared" si="4"/>
        <v>20</v>
      </c>
      <c r="L21" s="5">
        <f t="shared" si="5"/>
        <v>-30</v>
      </c>
      <c r="M21" s="5">
        <f t="shared" si="6"/>
        <v>-10</v>
      </c>
      <c r="N21" s="38">
        <f t="shared" si="0"/>
        <v>2.25</v>
      </c>
      <c r="O21" s="38">
        <f t="shared" si="1"/>
        <v>1.2857142857142858</v>
      </c>
      <c r="P21" s="38">
        <f t="shared" si="2"/>
        <v>0.75</v>
      </c>
    </row>
    <row r="22" spans="1:16" ht="28.5" customHeight="1">
      <c r="A22" s="104"/>
      <c r="B22" s="104"/>
      <c r="C22" s="45" t="s">
        <v>27</v>
      </c>
      <c r="D22" s="44">
        <f aca="true" t="shared" si="7" ref="D22:I22">D26+D29+D37+D47+D49+D54+D58+D60+D69</f>
        <v>3898604.79</v>
      </c>
      <c r="E22" s="70">
        <f t="shared" si="7"/>
        <v>6567862.88</v>
      </c>
      <c r="F22" s="70">
        <f t="shared" si="7"/>
        <v>4077279.39</v>
      </c>
      <c r="G22" s="70">
        <f t="shared" si="7"/>
        <v>499671.29999999993</v>
      </c>
      <c r="H22" s="70">
        <f t="shared" si="7"/>
        <v>4481612.669999998</v>
      </c>
      <c r="I22" s="70">
        <f t="shared" si="7"/>
        <v>491238.94999999995</v>
      </c>
      <c r="J22" s="70">
        <f t="shared" si="3"/>
        <v>583007.879999998</v>
      </c>
      <c r="K22" s="70">
        <f t="shared" si="4"/>
        <v>404333.27999999793</v>
      </c>
      <c r="L22" s="70">
        <f t="shared" si="5"/>
        <v>-2086250.2100000018</v>
      </c>
      <c r="M22" s="70">
        <f t="shared" si="6"/>
        <v>-8432.349999999977</v>
      </c>
      <c r="N22" s="71">
        <f t="shared" si="0"/>
        <v>1.149542698325161</v>
      </c>
      <c r="O22" s="71">
        <f t="shared" si="1"/>
        <v>1.0991674205578534</v>
      </c>
      <c r="P22" s="71">
        <f t="shared" si="2"/>
        <v>0.682354786006129</v>
      </c>
    </row>
    <row r="23" spans="1:16" ht="18" customHeight="1">
      <c r="A23" s="97" t="s">
        <v>25</v>
      </c>
      <c r="B23" s="100" t="s">
        <v>75</v>
      </c>
      <c r="C23" s="6" t="s">
        <v>95</v>
      </c>
      <c r="D23" s="36">
        <v>73404.81</v>
      </c>
      <c r="E23" s="5">
        <f>135475.5+25225.6</f>
        <v>160701.1</v>
      </c>
      <c r="F23" s="5">
        <v>102150</v>
      </c>
      <c r="G23" s="5">
        <v>14500</v>
      </c>
      <c r="H23" s="5">
        <v>105607.68000000001</v>
      </c>
      <c r="I23" s="5">
        <v>12476.1</v>
      </c>
      <c r="J23" s="7">
        <f t="shared" si="3"/>
        <v>32202.87000000001</v>
      </c>
      <c r="K23" s="7">
        <f t="shared" si="4"/>
        <v>3457.6800000000076</v>
      </c>
      <c r="L23" s="7">
        <f t="shared" si="5"/>
        <v>-55093.42</v>
      </c>
      <c r="M23" s="7">
        <f t="shared" si="6"/>
        <v>-2023.8999999999996</v>
      </c>
      <c r="N23" s="39">
        <f t="shared" si="0"/>
        <v>1.4387024501527899</v>
      </c>
      <c r="O23" s="39">
        <f t="shared" si="1"/>
        <v>1.0338490455212923</v>
      </c>
      <c r="P23" s="39">
        <f t="shared" si="2"/>
        <v>0.657168370347185</v>
      </c>
    </row>
    <row r="24" spans="1:16" ht="18" customHeight="1">
      <c r="A24" s="98"/>
      <c r="B24" s="101"/>
      <c r="C24" s="6" t="s">
        <v>28</v>
      </c>
      <c r="D24" s="35">
        <v>3971.23</v>
      </c>
      <c r="E24" s="5">
        <v>39519.1</v>
      </c>
      <c r="F24" s="5">
        <v>39519.14</v>
      </c>
      <c r="G24" s="5">
        <v>0</v>
      </c>
      <c r="H24" s="5">
        <v>50255.37</v>
      </c>
      <c r="I24" s="5">
        <v>10736.23</v>
      </c>
      <c r="J24" s="5">
        <f t="shared" si="3"/>
        <v>46284.14</v>
      </c>
      <c r="K24" s="5">
        <f t="shared" si="4"/>
        <v>10736.230000000003</v>
      </c>
      <c r="L24" s="5">
        <f t="shared" si="5"/>
        <v>10736.270000000004</v>
      </c>
      <c r="M24" s="5">
        <f t="shared" si="6"/>
        <v>10736.23</v>
      </c>
      <c r="N24" s="39">
        <f t="shared" si="0"/>
        <v>12.654862599245071</v>
      </c>
      <c r="O24" s="39">
        <f t="shared" si="1"/>
        <v>1.271671650749485</v>
      </c>
      <c r="P24" s="39">
        <f t="shared" si="2"/>
        <v>1.271672937895853</v>
      </c>
    </row>
    <row r="25" spans="1:16" ht="18" customHeight="1">
      <c r="A25" s="98"/>
      <c r="B25" s="101"/>
      <c r="C25" s="6" t="s">
        <v>50</v>
      </c>
      <c r="D25" s="35">
        <v>56303.79</v>
      </c>
      <c r="E25" s="5">
        <f>110819.4+14383.9-8662.9</f>
        <v>116540.4</v>
      </c>
      <c r="F25" s="5">
        <v>67750</v>
      </c>
      <c r="G25" s="5">
        <v>10600</v>
      </c>
      <c r="H25" s="5">
        <v>73230.79000000001</v>
      </c>
      <c r="I25" s="5">
        <v>7938.49</v>
      </c>
      <c r="J25" s="7">
        <f t="shared" si="3"/>
        <v>16927.000000000007</v>
      </c>
      <c r="K25" s="7">
        <f t="shared" si="4"/>
        <v>5480.790000000008</v>
      </c>
      <c r="L25" s="7">
        <f t="shared" si="5"/>
        <v>-43309.609999999986</v>
      </c>
      <c r="M25" s="7">
        <f t="shared" si="6"/>
        <v>-2661.51</v>
      </c>
      <c r="N25" s="39">
        <f t="shared" si="0"/>
        <v>1.3006369553452797</v>
      </c>
      <c r="O25" s="39">
        <f t="shared" si="1"/>
        <v>1.080897269372694</v>
      </c>
      <c r="P25" s="39">
        <f t="shared" si="2"/>
        <v>0.628372564363946</v>
      </c>
    </row>
    <row r="26" spans="1:16" ht="18" customHeight="1">
      <c r="A26" s="99"/>
      <c r="B26" s="102"/>
      <c r="C26" s="73" t="s">
        <v>9</v>
      </c>
      <c r="D26" s="28">
        <f aca="true" t="shared" si="8" ref="D26:I26">SUM(D23:D25)</f>
        <v>133679.83</v>
      </c>
      <c r="E26" s="28">
        <f t="shared" si="8"/>
        <v>316760.6</v>
      </c>
      <c r="F26" s="28">
        <f t="shared" si="8"/>
        <v>209419.14</v>
      </c>
      <c r="G26" s="28">
        <f t="shared" si="8"/>
        <v>25100</v>
      </c>
      <c r="H26" s="28">
        <f t="shared" si="8"/>
        <v>229093.84000000003</v>
      </c>
      <c r="I26" s="28">
        <f t="shared" si="8"/>
        <v>31150.82</v>
      </c>
      <c r="J26" s="28">
        <f t="shared" si="3"/>
        <v>95414.01000000004</v>
      </c>
      <c r="K26" s="28">
        <f t="shared" si="4"/>
        <v>19674.70000000001</v>
      </c>
      <c r="L26" s="28">
        <f t="shared" si="5"/>
        <v>-87666.75999999995</v>
      </c>
      <c r="M26" s="28">
        <f t="shared" si="6"/>
        <v>6050.82</v>
      </c>
      <c r="N26" s="75">
        <f t="shared" si="0"/>
        <v>1.7137502344220519</v>
      </c>
      <c r="O26" s="75">
        <f t="shared" si="1"/>
        <v>1.0939489103049511</v>
      </c>
      <c r="P26" s="75">
        <f t="shared" si="2"/>
        <v>0.7232396958460113</v>
      </c>
    </row>
    <row r="27" spans="1:16" ht="18" customHeight="1">
      <c r="A27" s="90">
        <v>951</v>
      </c>
      <c r="B27" s="90" t="s">
        <v>11</v>
      </c>
      <c r="C27" s="8" t="s">
        <v>29</v>
      </c>
      <c r="D27" s="36">
        <v>52697.93</v>
      </c>
      <c r="E27" s="5">
        <v>91712.1</v>
      </c>
      <c r="F27" s="5">
        <v>53623</v>
      </c>
      <c r="G27" s="5">
        <v>5900</v>
      </c>
      <c r="H27" s="5">
        <v>71535.08</v>
      </c>
      <c r="I27" s="5">
        <v>6298.07</v>
      </c>
      <c r="J27" s="5">
        <f t="shared" si="3"/>
        <v>18837.15</v>
      </c>
      <c r="K27" s="5">
        <f t="shared" si="4"/>
        <v>17912.08</v>
      </c>
      <c r="L27" s="5">
        <f t="shared" si="5"/>
        <v>-20177.020000000004</v>
      </c>
      <c r="M27" s="5">
        <f t="shared" si="6"/>
        <v>398.0699999999997</v>
      </c>
      <c r="N27" s="39">
        <f t="shared" si="0"/>
        <v>1.3574552169316707</v>
      </c>
      <c r="O27" s="39">
        <f t="shared" si="1"/>
        <v>1.334037260130914</v>
      </c>
      <c r="P27" s="39">
        <f t="shared" si="2"/>
        <v>0.7799960964801809</v>
      </c>
    </row>
    <row r="28" spans="1:16" ht="18" customHeight="1">
      <c r="A28" s="90"/>
      <c r="B28" s="90"/>
      <c r="C28" s="6" t="s">
        <v>30</v>
      </c>
      <c r="D28" s="36">
        <v>7799.62</v>
      </c>
      <c r="E28" s="5">
        <v>14224.9</v>
      </c>
      <c r="F28" s="5">
        <v>6381.900000000001</v>
      </c>
      <c r="G28" s="5">
        <v>1915.3</v>
      </c>
      <c r="H28" s="5">
        <v>7043.8099999999995</v>
      </c>
      <c r="I28" s="5">
        <v>755.95</v>
      </c>
      <c r="J28" s="5">
        <f t="shared" si="3"/>
        <v>-755.8100000000004</v>
      </c>
      <c r="K28" s="5">
        <f t="shared" si="4"/>
        <v>661.909999999999</v>
      </c>
      <c r="L28" s="5">
        <f t="shared" si="5"/>
        <v>-7181.09</v>
      </c>
      <c r="M28" s="5">
        <f t="shared" si="6"/>
        <v>-1159.35</v>
      </c>
      <c r="N28" s="39">
        <f t="shared" si="0"/>
        <v>0.9030965611145158</v>
      </c>
      <c r="O28" s="39">
        <f t="shared" si="1"/>
        <v>1.1037167614660208</v>
      </c>
      <c r="P28" s="39">
        <f t="shared" si="2"/>
        <v>0.49517465852132525</v>
      </c>
    </row>
    <row r="29" spans="1:16" ht="15.75">
      <c r="A29" s="90"/>
      <c r="B29" s="90"/>
      <c r="C29" s="76" t="s">
        <v>9</v>
      </c>
      <c r="D29" s="28">
        <f>D27+D28</f>
        <v>60497.55</v>
      </c>
      <c r="E29" s="28">
        <f>E27+E28</f>
        <v>105937</v>
      </c>
      <c r="F29" s="28">
        <f>F27+F28</f>
        <v>60004.9</v>
      </c>
      <c r="G29" s="28">
        <f>G27+G28</f>
        <v>7815.3</v>
      </c>
      <c r="H29" s="28">
        <f>H27+H28</f>
        <v>78578.89</v>
      </c>
      <c r="I29" s="28">
        <f>I27+I28</f>
        <v>7054.0199999999995</v>
      </c>
      <c r="J29" s="28">
        <f t="shared" si="3"/>
        <v>18081.339999999997</v>
      </c>
      <c r="K29" s="28">
        <f t="shared" si="4"/>
        <v>18573.989999999998</v>
      </c>
      <c r="L29" s="28">
        <f t="shared" si="5"/>
        <v>-27358.11</v>
      </c>
      <c r="M29" s="28">
        <f t="shared" si="6"/>
        <v>-761.2800000000007</v>
      </c>
      <c r="N29" s="75">
        <f t="shared" si="0"/>
        <v>1.2988772272596163</v>
      </c>
      <c r="O29" s="75">
        <f t="shared" si="1"/>
        <v>1.3095412208003012</v>
      </c>
      <c r="P29" s="75">
        <f t="shared" si="2"/>
        <v>0.7417511351086022</v>
      </c>
    </row>
    <row r="30" spans="1:16" ht="18.75" customHeight="1">
      <c r="A30" s="105" t="s">
        <v>31</v>
      </c>
      <c r="B30" s="90" t="s">
        <v>32</v>
      </c>
      <c r="C30" s="6" t="s">
        <v>33</v>
      </c>
      <c r="D30" s="35">
        <v>1336</v>
      </c>
      <c r="E30" s="3">
        <v>496</v>
      </c>
      <c r="F30" s="3">
        <v>496</v>
      </c>
      <c r="G30" s="3">
        <v>496</v>
      </c>
      <c r="H30" s="62">
        <v>3566.51</v>
      </c>
      <c r="I30" s="62">
        <v>0</v>
      </c>
      <c r="J30" s="3">
        <f t="shared" si="3"/>
        <v>2230.51</v>
      </c>
      <c r="K30" s="3">
        <f t="shared" si="4"/>
        <v>3070.51</v>
      </c>
      <c r="L30" s="3">
        <f t="shared" si="5"/>
        <v>3070.51</v>
      </c>
      <c r="M30" s="3">
        <f t="shared" si="6"/>
        <v>-496</v>
      </c>
      <c r="N30" s="39">
        <f t="shared" si="0"/>
        <v>2.669543413173653</v>
      </c>
      <c r="O30" s="39">
        <f t="shared" si="1"/>
        <v>7.1905443548387105</v>
      </c>
      <c r="P30" s="39">
        <f t="shared" si="2"/>
        <v>7.1905443548387105</v>
      </c>
    </row>
    <row r="31" spans="1:16" ht="17.25" customHeight="1">
      <c r="A31" s="105"/>
      <c r="B31" s="90"/>
      <c r="C31" s="9" t="s">
        <v>34</v>
      </c>
      <c r="D31" s="35">
        <v>44651.450000000004</v>
      </c>
      <c r="E31" s="3">
        <v>100081.7</v>
      </c>
      <c r="F31" s="3">
        <v>62500</v>
      </c>
      <c r="G31" s="3">
        <v>8000</v>
      </c>
      <c r="H31" s="5">
        <v>54690.3</v>
      </c>
      <c r="I31" s="5">
        <v>4992.75</v>
      </c>
      <c r="J31" s="3">
        <f t="shared" si="3"/>
        <v>10038.849999999999</v>
      </c>
      <c r="K31" s="3">
        <f t="shared" si="4"/>
        <v>-7809.699999999997</v>
      </c>
      <c r="L31" s="3">
        <f t="shared" si="5"/>
        <v>-45391.399999999994</v>
      </c>
      <c r="M31" s="3">
        <f t="shared" si="6"/>
        <v>-3007.25</v>
      </c>
      <c r="N31" s="39">
        <f t="shared" si="0"/>
        <v>1.224826965305718</v>
      </c>
      <c r="O31" s="39">
        <f t="shared" si="1"/>
        <v>0.8750448000000001</v>
      </c>
      <c r="P31" s="39">
        <f t="shared" si="2"/>
        <v>0.5464565450027328</v>
      </c>
    </row>
    <row r="32" spans="1:16" ht="15.75">
      <c r="A32" s="105"/>
      <c r="B32" s="90"/>
      <c r="C32" s="8" t="s">
        <v>35</v>
      </c>
      <c r="D32" s="35">
        <v>2761.02</v>
      </c>
      <c r="E32" s="3">
        <v>557</v>
      </c>
      <c r="F32" s="3">
        <v>371.3</v>
      </c>
      <c r="G32" s="3">
        <v>46.4</v>
      </c>
      <c r="H32" s="5">
        <v>6493.85</v>
      </c>
      <c r="I32" s="5">
        <v>1534.15</v>
      </c>
      <c r="J32" s="3">
        <f t="shared" si="3"/>
        <v>3732.8300000000004</v>
      </c>
      <c r="K32" s="3">
        <f t="shared" si="4"/>
        <v>6122.55</v>
      </c>
      <c r="L32" s="3">
        <f t="shared" si="5"/>
        <v>5936.85</v>
      </c>
      <c r="M32" s="3">
        <f t="shared" si="6"/>
        <v>1487.75</v>
      </c>
      <c r="N32" s="39">
        <f t="shared" si="0"/>
        <v>2.3519749947483177</v>
      </c>
      <c r="O32" s="39">
        <f t="shared" si="1"/>
        <v>17.489496364126044</v>
      </c>
      <c r="P32" s="39">
        <f t="shared" si="2"/>
        <v>11.658617594254938</v>
      </c>
    </row>
    <row r="33" spans="1:16" ht="15.75">
      <c r="A33" s="105"/>
      <c r="B33" s="90"/>
      <c r="C33" s="8" t="s">
        <v>36</v>
      </c>
      <c r="D33" s="5">
        <f>D34+D36+D35</f>
        <v>35412.83</v>
      </c>
      <c r="E33" s="5">
        <f>E34+E36+E35</f>
        <v>200264</v>
      </c>
      <c r="F33" s="5">
        <f>F34+F36+F35</f>
        <v>166491.7</v>
      </c>
      <c r="G33" s="5">
        <f>G34+G36+G35</f>
        <v>5969.800000000001</v>
      </c>
      <c r="H33" s="5">
        <f>H34+H36+H35</f>
        <v>206720.46999999997</v>
      </c>
      <c r="I33" s="5">
        <f>I34+I36+I35</f>
        <v>37888.08</v>
      </c>
      <c r="J33" s="10">
        <f t="shared" si="3"/>
        <v>171307.63999999996</v>
      </c>
      <c r="K33" s="10">
        <f t="shared" si="4"/>
        <v>40228.76999999996</v>
      </c>
      <c r="L33" s="10">
        <f t="shared" si="5"/>
        <v>6456.469999999972</v>
      </c>
      <c r="M33" s="10">
        <f t="shared" si="6"/>
        <v>31918.28</v>
      </c>
      <c r="N33" s="39">
        <f t="shared" si="0"/>
        <v>5.837445637640368</v>
      </c>
      <c r="O33" s="39">
        <f t="shared" si="1"/>
        <v>1.2416262792679753</v>
      </c>
      <c r="P33" s="39">
        <f t="shared" si="2"/>
        <v>1.032239793472616</v>
      </c>
    </row>
    <row r="34" spans="1:16" ht="15.75">
      <c r="A34" s="105"/>
      <c r="B34" s="90"/>
      <c r="C34" s="11" t="s">
        <v>37</v>
      </c>
      <c r="D34" s="37">
        <v>14562.55</v>
      </c>
      <c r="E34" s="12">
        <f>48594.6+85630.3+29092.9</f>
        <v>163317.8</v>
      </c>
      <c r="F34" s="12">
        <v>144165.6</v>
      </c>
      <c r="G34" s="12">
        <v>3914.8</v>
      </c>
      <c r="H34" s="12">
        <v>179863.61</v>
      </c>
      <c r="I34" s="12">
        <v>36282</v>
      </c>
      <c r="J34" s="12">
        <f t="shared" si="3"/>
        <v>165301.06</v>
      </c>
      <c r="K34" s="12">
        <f t="shared" si="4"/>
        <v>35698.00999999998</v>
      </c>
      <c r="L34" s="12">
        <f t="shared" si="5"/>
        <v>16545.809999999998</v>
      </c>
      <c r="M34" s="12">
        <f t="shared" si="6"/>
        <v>32367.2</v>
      </c>
      <c r="N34" s="39">
        <f t="shared" si="0"/>
        <v>12.351106777315787</v>
      </c>
      <c r="O34" s="39">
        <f t="shared" si="1"/>
        <v>1.247618086422836</v>
      </c>
      <c r="P34" s="39">
        <f t="shared" si="2"/>
        <v>1.1013105123875047</v>
      </c>
    </row>
    <row r="35" spans="1:16" ht="15.75">
      <c r="A35" s="105"/>
      <c r="B35" s="90"/>
      <c r="C35" s="11" t="s">
        <v>38</v>
      </c>
      <c r="D35" s="37">
        <v>1365.67</v>
      </c>
      <c r="E35" s="63">
        <v>1867.8</v>
      </c>
      <c r="F35" s="63">
        <v>236.4</v>
      </c>
      <c r="G35" s="63">
        <v>76.1</v>
      </c>
      <c r="H35" s="63">
        <v>967.5</v>
      </c>
      <c r="I35" s="63">
        <v>0</v>
      </c>
      <c r="J35" s="12">
        <f t="shared" si="3"/>
        <v>-398.1700000000001</v>
      </c>
      <c r="K35" s="12">
        <f t="shared" si="4"/>
        <v>731.1</v>
      </c>
      <c r="L35" s="12">
        <f t="shared" si="5"/>
        <v>-900.3</v>
      </c>
      <c r="M35" s="12">
        <f t="shared" si="6"/>
        <v>-76.1</v>
      </c>
      <c r="N35" s="39">
        <f t="shared" si="0"/>
        <v>0.7084434746314995</v>
      </c>
      <c r="O35" s="39">
        <f t="shared" si="1"/>
        <v>4.092639593908629</v>
      </c>
      <c r="P35" s="39">
        <f t="shared" si="2"/>
        <v>0.5179890780597495</v>
      </c>
    </row>
    <row r="36" spans="1:16" ht="15.75">
      <c r="A36" s="105"/>
      <c r="B36" s="90"/>
      <c r="C36" s="11" t="s">
        <v>39</v>
      </c>
      <c r="D36" s="28">
        <v>19484.61</v>
      </c>
      <c r="E36" s="63">
        <f>35078.4+85630.3-85630.3</f>
        <v>35078.40000000001</v>
      </c>
      <c r="F36" s="63">
        <v>22089.7</v>
      </c>
      <c r="G36" s="63">
        <v>1978.9</v>
      </c>
      <c r="H36" s="63">
        <v>25889.36</v>
      </c>
      <c r="I36" s="63">
        <v>1606.08</v>
      </c>
      <c r="J36" s="12">
        <f t="shared" si="3"/>
        <v>6404.75</v>
      </c>
      <c r="K36" s="12">
        <f t="shared" si="4"/>
        <v>3799.66</v>
      </c>
      <c r="L36" s="12">
        <f t="shared" si="5"/>
        <v>-9189.040000000008</v>
      </c>
      <c r="M36" s="12">
        <f t="shared" si="6"/>
        <v>-372.82000000000016</v>
      </c>
      <c r="N36" s="39">
        <f t="shared" si="0"/>
        <v>1.3287081445304783</v>
      </c>
      <c r="O36" s="39">
        <f t="shared" si="1"/>
        <v>1.1720104845244617</v>
      </c>
      <c r="P36" s="39">
        <f t="shared" si="2"/>
        <v>0.7380427841634737</v>
      </c>
    </row>
    <row r="37" spans="1:16" ht="15.75">
      <c r="A37" s="105"/>
      <c r="B37" s="105"/>
      <c r="C37" s="76" t="s">
        <v>9</v>
      </c>
      <c r="D37" s="28">
        <f>SUM(D30:D33)</f>
        <v>84161.3</v>
      </c>
      <c r="E37" s="28">
        <f>SUM(E30:E33)</f>
        <v>301398.7</v>
      </c>
      <c r="F37" s="28">
        <f>SUM(F30:F33)</f>
        <v>229859</v>
      </c>
      <c r="G37" s="28">
        <f>SUM(G30:G33)</f>
        <v>14512.2</v>
      </c>
      <c r="H37" s="28">
        <f>SUM(H30:H33)</f>
        <v>271471.13</v>
      </c>
      <c r="I37" s="28">
        <f>SUM(I30:I33)</f>
        <v>44414.98</v>
      </c>
      <c r="J37" s="28">
        <f t="shared" si="3"/>
        <v>187309.83000000002</v>
      </c>
      <c r="K37" s="28">
        <f t="shared" si="4"/>
        <v>41612.130000000005</v>
      </c>
      <c r="L37" s="28">
        <f t="shared" si="5"/>
        <v>-29927.570000000007</v>
      </c>
      <c r="M37" s="28">
        <f t="shared" si="6"/>
        <v>29902.780000000002</v>
      </c>
      <c r="N37" s="75">
        <f aca="true" t="shared" si="9" ref="N37:N68">_xlfn.IFERROR(H37/D37,"")</f>
        <v>3.2256052366111265</v>
      </c>
      <c r="O37" s="75">
        <f aca="true" t="shared" si="10" ref="O37:O68">_xlfn.IFERROR(H37/F37,"")</f>
        <v>1.1810332856229253</v>
      </c>
      <c r="P37" s="75">
        <f aca="true" t="shared" si="11" ref="P37:P68">_xlfn.IFERROR(H37/E37,"")</f>
        <v>0.9007043826001904</v>
      </c>
    </row>
    <row r="38" spans="1:16" ht="31.5">
      <c r="A38" s="105" t="s">
        <v>74</v>
      </c>
      <c r="B38" s="90" t="s">
        <v>15</v>
      </c>
      <c r="C38" s="8" t="s">
        <v>41</v>
      </c>
      <c r="D38" s="36">
        <v>191139.77</v>
      </c>
      <c r="E38" s="5">
        <v>326627.4</v>
      </c>
      <c r="F38" s="5">
        <v>192500.5</v>
      </c>
      <c r="G38" s="5">
        <v>13100</v>
      </c>
      <c r="H38" s="5">
        <v>186281.26</v>
      </c>
      <c r="I38" s="5">
        <v>21680.41</v>
      </c>
      <c r="J38" s="10">
        <f t="shared" si="3"/>
        <v>-4858.50999999998</v>
      </c>
      <c r="K38" s="10">
        <f t="shared" si="4"/>
        <v>-6219.239999999991</v>
      </c>
      <c r="L38" s="10">
        <f t="shared" si="5"/>
        <v>-140346.14</v>
      </c>
      <c r="M38" s="10">
        <f t="shared" si="6"/>
        <v>8580.41</v>
      </c>
      <c r="N38" s="39">
        <f t="shared" si="9"/>
        <v>0.9745813757126527</v>
      </c>
      <c r="O38" s="39">
        <f t="shared" si="10"/>
        <v>0.9676923436562503</v>
      </c>
      <c r="P38" s="39">
        <f t="shared" si="11"/>
        <v>0.5703173095704769</v>
      </c>
    </row>
    <row r="39" spans="1:16" ht="23.25" customHeight="1">
      <c r="A39" s="105"/>
      <c r="B39" s="90"/>
      <c r="C39" s="8" t="s">
        <v>42</v>
      </c>
      <c r="D39" s="36">
        <v>33898.17</v>
      </c>
      <c r="E39" s="5">
        <f>245061.4+9204.6</f>
        <v>254266</v>
      </c>
      <c r="F39" s="5">
        <v>131704.6</v>
      </c>
      <c r="G39" s="5">
        <v>17600</v>
      </c>
      <c r="H39" s="5">
        <v>195377.13999999998</v>
      </c>
      <c r="I39" s="5">
        <v>28304.14</v>
      </c>
      <c r="J39" s="10">
        <f t="shared" si="3"/>
        <v>161478.96999999997</v>
      </c>
      <c r="K39" s="10">
        <f t="shared" si="4"/>
        <v>63672.53999999998</v>
      </c>
      <c r="L39" s="10">
        <f t="shared" si="5"/>
        <v>-58888.860000000015</v>
      </c>
      <c r="M39" s="10">
        <f t="shared" si="6"/>
        <v>10704.14</v>
      </c>
      <c r="N39" s="39">
        <f t="shared" si="9"/>
        <v>5.763648598139663</v>
      </c>
      <c r="O39" s="39">
        <f t="shared" si="10"/>
        <v>1.483449628942345</v>
      </c>
      <c r="P39" s="39">
        <f t="shared" si="11"/>
        <v>0.7683966397394854</v>
      </c>
    </row>
    <row r="40" spans="1:16" ht="31.5">
      <c r="A40" s="105"/>
      <c r="B40" s="90"/>
      <c r="C40" s="6" t="s">
        <v>43</v>
      </c>
      <c r="D40" s="36">
        <v>32587.68</v>
      </c>
      <c r="E40" s="5">
        <f>48566.2-5534.7</f>
        <v>43031.5</v>
      </c>
      <c r="F40" s="5">
        <v>25526</v>
      </c>
      <c r="G40" s="5">
        <v>1500</v>
      </c>
      <c r="H40" s="5">
        <v>24778.589999999997</v>
      </c>
      <c r="I40" s="5">
        <v>486.52000000000004</v>
      </c>
      <c r="J40" s="5">
        <f t="shared" si="3"/>
        <v>-7809.090000000004</v>
      </c>
      <c r="K40" s="5">
        <f t="shared" si="4"/>
        <v>-747.4100000000035</v>
      </c>
      <c r="L40" s="5">
        <f t="shared" si="5"/>
        <v>-18252.910000000003</v>
      </c>
      <c r="M40" s="5">
        <f t="shared" si="6"/>
        <v>-1013.48</v>
      </c>
      <c r="N40" s="39">
        <f t="shared" si="9"/>
        <v>0.7603668011960347</v>
      </c>
      <c r="O40" s="39">
        <f t="shared" si="10"/>
        <v>0.9707196583875263</v>
      </c>
      <c r="P40" s="39">
        <f t="shared" si="11"/>
        <v>0.5758244541789154</v>
      </c>
    </row>
    <row r="41" spans="1:16" ht="31.5">
      <c r="A41" s="106"/>
      <c r="B41" s="109"/>
      <c r="C41" s="13" t="s">
        <v>78</v>
      </c>
      <c r="D41" s="36">
        <v>1993.71</v>
      </c>
      <c r="E41" s="5">
        <v>2948.3</v>
      </c>
      <c r="F41" s="5">
        <v>1689</v>
      </c>
      <c r="G41" s="5">
        <v>0</v>
      </c>
      <c r="H41" s="5">
        <v>2035.02</v>
      </c>
      <c r="I41" s="5">
        <v>84.28</v>
      </c>
      <c r="J41" s="5">
        <f t="shared" si="3"/>
        <v>41.309999999999945</v>
      </c>
      <c r="K41" s="5">
        <f t="shared" si="4"/>
        <v>346.02</v>
      </c>
      <c r="L41" s="5">
        <f t="shared" si="5"/>
        <v>-913.2800000000002</v>
      </c>
      <c r="M41" s="5">
        <f t="shared" si="6"/>
        <v>84.28</v>
      </c>
      <c r="N41" s="39">
        <f t="shared" si="9"/>
        <v>1.0207201649186692</v>
      </c>
      <c r="O41" s="39">
        <f t="shared" si="10"/>
        <v>1.2048667850799288</v>
      </c>
      <c r="P41" s="39">
        <f t="shared" si="11"/>
        <v>0.6902350507071872</v>
      </c>
    </row>
    <row r="42" spans="1:16" ht="18" customHeight="1">
      <c r="A42" s="107"/>
      <c r="B42" s="110"/>
      <c r="C42" s="14" t="s">
        <v>82</v>
      </c>
      <c r="D42" s="36">
        <v>64.83</v>
      </c>
      <c r="E42" s="5">
        <v>0</v>
      </c>
      <c r="F42" s="5">
        <v>0</v>
      </c>
      <c r="G42" s="5">
        <v>0</v>
      </c>
      <c r="H42" s="5">
        <v>215.35</v>
      </c>
      <c r="I42" s="5">
        <v>2.9</v>
      </c>
      <c r="J42" s="5">
        <f t="shared" si="3"/>
        <v>150.51999999999998</v>
      </c>
      <c r="K42" s="5">
        <f t="shared" si="4"/>
        <v>215.35</v>
      </c>
      <c r="L42" s="5">
        <f t="shared" si="5"/>
        <v>215.35</v>
      </c>
      <c r="M42" s="5">
        <f t="shared" si="6"/>
        <v>2.9</v>
      </c>
      <c r="N42" s="39">
        <f t="shared" si="9"/>
        <v>3.321764615147308</v>
      </c>
      <c r="O42" s="39">
        <f t="shared" si="10"/>
      </c>
      <c r="P42" s="39">
        <f t="shared" si="11"/>
      </c>
    </row>
    <row r="43" spans="1:16" ht="31.5">
      <c r="A43" s="105"/>
      <c r="B43" s="90"/>
      <c r="C43" s="8" t="s">
        <v>44</v>
      </c>
      <c r="D43" s="36">
        <v>420984.65</v>
      </c>
      <c r="E43" s="3">
        <v>104142</v>
      </c>
      <c r="F43" s="3">
        <v>63340</v>
      </c>
      <c r="G43" s="3">
        <v>9600</v>
      </c>
      <c r="H43" s="5">
        <v>159611.09</v>
      </c>
      <c r="I43" s="5">
        <v>17217.37</v>
      </c>
      <c r="J43" s="3">
        <f t="shared" si="3"/>
        <v>-261373.56000000003</v>
      </c>
      <c r="K43" s="3">
        <f t="shared" si="4"/>
        <v>96271.09</v>
      </c>
      <c r="L43" s="3">
        <f t="shared" si="5"/>
        <v>55469.09</v>
      </c>
      <c r="M43" s="3">
        <f t="shared" si="6"/>
        <v>7617.369999999999</v>
      </c>
      <c r="N43" s="39">
        <f t="shared" si="9"/>
        <v>0.37913755287752177</v>
      </c>
      <c r="O43" s="39">
        <f t="shared" si="10"/>
        <v>2.519909851594569</v>
      </c>
      <c r="P43" s="39">
        <f t="shared" si="11"/>
        <v>1.5326293906397035</v>
      </c>
    </row>
    <row r="44" spans="1:16" ht="31.5">
      <c r="A44" s="105"/>
      <c r="B44" s="90"/>
      <c r="C44" s="8" t="s">
        <v>45</v>
      </c>
      <c r="D44" s="36">
        <v>61235.56</v>
      </c>
      <c r="E44" s="3">
        <v>45272.2</v>
      </c>
      <c r="F44" s="3">
        <v>24050</v>
      </c>
      <c r="G44" s="3">
        <v>5750</v>
      </c>
      <c r="H44" s="5">
        <v>51146.32</v>
      </c>
      <c r="I44" s="5">
        <v>4012.57</v>
      </c>
      <c r="J44" s="35">
        <v>5230.72</v>
      </c>
      <c r="K44" s="3">
        <f t="shared" si="4"/>
        <v>27096.32</v>
      </c>
      <c r="L44" s="3">
        <f t="shared" si="5"/>
        <v>5874.120000000003</v>
      </c>
      <c r="M44" s="3">
        <f t="shared" si="6"/>
        <v>-1737.4299999999998</v>
      </c>
      <c r="N44" s="39">
        <f t="shared" si="9"/>
        <v>0.8352388710089367</v>
      </c>
      <c r="O44" s="39">
        <f t="shared" si="10"/>
        <v>2.126666112266112</v>
      </c>
      <c r="P44" s="39">
        <f t="shared" si="11"/>
        <v>1.1297511497121855</v>
      </c>
    </row>
    <row r="45" spans="1:16" ht="18" customHeight="1">
      <c r="A45" s="108"/>
      <c r="B45" s="111"/>
      <c r="C45" s="6" t="s">
        <v>50</v>
      </c>
      <c r="D45" s="52">
        <v>9033.56</v>
      </c>
      <c r="E45" s="53">
        <v>14007.9</v>
      </c>
      <c r="F45" s="53">
        <v>5563.8</v>
      </c>
      <c r="G45" s="53">
        <v>0</v>
      </c>
      <c r="H45" s="5">
        <v>7670.390000000001</v>
      </c>
      <c r="I45" s="5">
        <v>1033.75</v>
      </c>
      <c r="J45" s="35">
        <v>5230.72</v>
      </c>
      <c r="K45" s="53">
        <f t="shared" si="4"/>
        <v>2106.590000000001</v>
      </c>
      <c r="L45" s="53">
        <f t="shared" si="5"/>
        <v>-6337.509999999998</v>
      </c>
      <c r="M45" s="53">
        <f t="shared" si="6"/>
        <v>1033.75</v>
      </c>
      <c r="N45" s="39">
        <f t="shared" si="9"/>
        <v>0.8490993583924833</v>
      </c>
      <c r="O45" s="39">
        <f t="shared" si="10"/>
        <v>1.3786243215068839</v>
      </c>
      <c r="P45" s="39">
        <f t="shared" si="11"/>
        <v>0.547576010679688</v>
      </c>
    </row>
    <row r="46" spans="1:16" ht="18" customHeight="1">
      <c r="A46" s="108"/>
      <c r="B46" s="111"/>
      <c r="C46" s="6" t="s">
        <v>102</v>
      </c>
      <c r="D46" s="52">
        <v>625.31</v>
      </c>
      <c r="E46" s="53">
        <v>0</v>
      </c>
      <c r="F46" s="53">
        <v>0</v>
      </c>
      <c r="G46" s="53">
        <v>0</v>
      </c>
      <c r="H46" s="5">
        <v>25532.399999999998</v>
      </c>
      <c r="I46" s="5">
        <v>3121.44</v>
      </c>
      <c r="J46" s="35">
        <v>5230.72</v>
      </c>
      <c r="K46" s="53">
        <f t="shared" si="4"/>
        <v>25532.399999999998</v>
      </c>
      <c r="L46" s="53">
        <f t="shared" si="5"/>
        <v>25532.399999999998</v>
      </c>
      <c r="M46" s="53">
        <f t="shared" si="6"/>
        <v>3121.44</v>
      </c>
      <c r="N46" s="39">
        <f t="shared" si="9"/>
        <v>40.83158753258384</v>
      </c>
      <c r="O46" s="39">
        <f t="shared" si="10"/>
      </c>
      <c r="P46" s="39">
        <f t="shared" si="11"/>
      </c>
    </row>
    <row r="47" spans="1:16" ht="18" customHeight="1">
      <c r="A47" s="105"/>
      <c r="B47" s="105"/>
      <c r="C47" s="76" t="s">
        <v>9</v>
      </c>
      <c r="D47" s="28">
        <f>SUM(D38:D46)</f>
        <v>751563.2400000002</v>
      </c>
      <c r="E47" s="28">
        <f>SUM(E38:E46)</f>
        <v>790295.3</v>
      </c>
      <c r="F47" s="28">
        <f>SUM(F38:F46)</f>
        <v>444373.89999999997</v>
      </c>
      <c r="G47" s="28">
        <f>SUM(G38:G46)</f>
        <v>47550</v>
      </c>
      <c r="H47" s="28">
        <f>SUM(H38:H46)</f>
        <v>652647.5599999999</v>
      </c>
      <c r="I47" s="28">
        <f>SUM(I38:I46)</f>
        <v>75943.38</v>
      </c>
      <c r="J47" s="28">
        <f t="shared" si="3"/>
        <v>-98915.68000000028</v>
      </c>
      <c r="K47" s="28">
        <f t="shared" si="4"/>
        <v>208273.65999999997</v>
      </c>
      <c r="L47" s="28">
        <f t="shared" si="5"/>
        <v>-137647.7400000001</v>
      </c>
      <c r="M47" s="28">
        <f t="shared" si="6"/>
        <v>28393.380000000005</v>
      </c>
      <c r="N47" s="39">
        <f t="shared" si="9"/>
        <v>0.8683867507942509</v>
      </c>
      <c r="O47" s="39">
        <f t="shared" si="10"/>
        <v>1.4686901278405415</v>
      </c>
      <c r="P47" s="39">
        <f t="shared" si="11"/>
        <v>0.8258274596850063</v>
      </c>
    </row>
    <row r="48" spans="1:16" ht="18" customHeight="1">
      <c r="A48" s="105" t="s">
        <v>46</v>
      </c>
      <c r="B48" s="90" t="s">
        <v>47</v>
      </c>
      <c r="C48" s="6" t="s">
        <v>28</v>
      </c>
      <c r="D48" s="35">
        <v>8187.13</v>
      </c>
      <c r="E48" s="87">
        <f>2731.1</f>
        <v>2731.1</v>
      </c>
      <c r="F48" s="3">
        <v>2731.14</v>
      </c>
      <c r="G48" s="3">
        <v>0</v>
      </c>
      <c r="H48" s="5">
        <v>2731.14</v>
      </c>
      <c r="I48" s="5">
        <v>0</v>
      </c>
      <c r="J48" s="7">
        <f t="shared" si="3"/>
        <v>-5455.99</v>
      </c>
      <c r="K48" s="7">
        <f t="shared" si="4"/>
        <v>0</v>
      </c>
      <c r="L48" s="7">
        <f t="shared" si="5"/>
        <v>0.03999999999996362</v>
      </c>
      <c r="M48" s="7">
        <f t="shared" si="6"/>
        <v>0</v>
      </c>
      <c r="N48" s="39">
        <f t="shared" si="9"/>
        <v>0.3335894263313273</v>
      </c>
      <c r="O48" s="39">
        <f t="shared" si="10"/>
        <v>1</v>
      </c>
      <c r="P48" s="39">
        <f t="shared" si="11"/>
        <v>1.0000146461132877</v>
      </c>
    </row>
    <row r="49" spans="1:16" ht="18" customHeight="1">
      <c r="A49" s="105"/>
      <c r="B49" s="90"/>
      <c r="C49" s="77" t="s">
        <v>9</v>
      </c>
      <c r="D49" s="28">
        <f>D48</f>
        <v>8187.13</v>
      </c>
      <c r="E49" s="78">
        <f>SUM(E48:E48)</f>
        <v>2731.1</v>
      </c>
      <c r="F49" s="78">
        <f>SUM(F48:F48)</f>
        <v>2731.14</v>
      </c>
      <c r="G49" s="78">
        <f>SUM(G48:G48)</f>
        <v>0</v>
      </c>
      <c r="H49" s="78">
        <f>SUM(H48:H48)</f>
        <v>2731.14</v>
      </c>
      <c r="I49" s="78">
        <f>SUM(I48:I48)</f>
        <v>0</v>
      </c>
      <c r="J49" s="79">
        <f t="shared" si="3"/>
        <v>-5455.99</v>
      </c>
      <c r="K49" s="79">
        <f t="shared" si="4"/>
        <v>0</v>
      </c>
      <c r="L49" s="79">
        <f t="shared" si="5"/>
        <v>0.03999999999996362</v>
      </c>
      <c r="M49" s="79">
        <f t="shared" si="6"/>
        <v>0</v>
      </c>
      <c r="N49" s="39">
        <f t="shared" si="9"/>
        <v>0.3335894263313273</v>
      </c>
      <c r="O49" s="39">
        <f t="shared" si="10"/>
        <v>1</v>
      </c>
      <c r="P49" s="39">
        <f t="shared" si="11"/>
        <v>1.0000146461132877</v>
      </c>
    </row>
    <row r="50" spans="1:16" ht="18" customHeight="1">
      <c r="A50" s="115" t="s">
        <v>49</v>
      </c>
      <c r="B50" s="113" t="s">
        <v>76</v>
      </c>
      <c r="C50" s="15" t="s">
        <v>85</v>
      </c>
      <c r="D50" s="35">
        <v>223264.92</v>
      </c>
      <c r="E50" s="3">
        <v>636054.38</v>
      </c>
      <c r="F50" s="3">
        <v>361223.16000000003</v>
      </c>
      <c r="G50" s="3">
        <v>50244.1</v>
      </c>
      <c r="H50" s="5">
        <v>316680.63</v>
      </c>
      <c r="I50" s="5">
        <v>20081.43</v>
      </c>
      <c r="J50" s="7">
        <f t="shared" si="3"/>
        <v>93415.70999999999</v>
      </c>
      <c r="K50" s="7">
        <f t="shared" si="4"/>
        <v>-44542.53000000003</v>
      </c>
      <c r="L50" s="7">
        <f t="shared" si="5"/>
        <v>-319373.75</v>
      </c>
      <c r="M50" s="7">
        <f t="shared" si="6"/>
        <v>-30162.67</v>
      </c>
      <c r="N50" s="39">
        <f t="shared" si="9"/>
        <v>1.4184074685803751</v>
      </c>
      <c r="O50" s="39">
        <f t="shared" si="10"/>
        <v>0.8766897172373996</v>
      </c>
      <c r="P50" s="39">
        <f t="shared" si="11"/>
        <v>0.4978829483101744</v>
      </c>
    </row>
    <row r="51" spans="1:16" ht="18" customHeight="1">
      <c r="A51" s="98"/>
      <c r="B51" s="101"/>
      <c r="C51" s="15" t="s">
        <v>79</v>
      </c>
      <c r="D51" s="35">
        <v>160495.23</v>
      </c>
      <c r="E51" s="35">
        <v>415818.14</v>
      </c>
      <c r="F51" s="35">
        <v>241592.60000000003</v>
      </c>
      <c r="G51" s="35">
        <v>34093.3</v>
      </c>
      <c r="H51" s="5">
        <v>212696.11</v>
      </c>
      <c r="I51" s="5">
        <v>22077.09</v>
      </c>
      <c r="J51" s="16">
        <f t="shared" si="3"/>
        <v>52200.879999999976</v>
      </c>
      <c r="K51" s="16">
        <f t="shared" si="4"/>
        <v>-28896.49000000005</v>
      </c>
      <c r="L51" s="16">
        <f t="shared" si="5"/>
        <v>-203122.03000000003</v>
      </c>
      <c r="M51" s="16">
        <f t="shared" si="6"/>
        <v>-12016.210000000003</v>
      </c>
      <c r="N51" s="39">
        <f t="shared" si="9"/>
        <v>1.3252487939984259</v>
      </c>
      <c r="O51" s="39">
        <f t="shared" si="10"/>
        <v>0.8803916593471818</v>
      </c>
      <c r="P51" s="39">
        <f t="shared" si="11"/>
        <v>0.5115123404669165</v>
      </c>
    </row>
    <row r="52" spans="1:16" ht="18" customHeight="1">
      <c r="A52" s="98"/>
      <c r="B52" s="101"/>
      <c r="C52" s="15" t="s">
        <v>80</v>
      </c>
      <c r="D52" s="35">
        <v>2311691.37</v>
      </c>
      <c r="E52" s="5">
        <v>3830717.66</v>
      </c>
      <c r="F52" s="5">
        <v>2420908.45</v>
      </c>
      <c r="G52" s="5">
        <v>306612.8</v>
      </c>
      <c r="H52" s="5">
        <v>2479314.4</v>
      </c>
      <c r="I52" s="5">
        <v>275837.65</v>
      </c>
      <c r="J52" s="7">
        <f t="shared" si="3"/>
        <v>167623.0299999998</v>
      </c>
      <c r="K52" s="7">
        <f t="shared" si="4"/>
        <v>58405.94999999972</v>
      </c>
      <c r="L52" s="7">
        <f t="shared" si="5"/>
        <v>-1351403.2600000002</v>
      </c>
      <c r="M52" s="7">
        <f t="shared" si="6"/>
        <v>-30775.149999999965</v>
      </c>
      <c r="N52" s="39">
        <f t="shared" si="9"/>
        <v>1.0725109900808254</v>
      </c>
      <c r="O52" s="39">
        <f t="shared" si="10"/>
        <v>1.0241256334992757</v>
      </c>
      <c r="P52" s="39">
        <f t="shared" si="11"/>
        <v>0.6472192993727447</v>
      </c>
    </row>
    <row r="53" spans="1:16" ht="18" customHeight="1">
      <c r="A53" s="98"/>
      <c r="B53" s="101"/>
      <c r="C53" s="15" t="s">
        <v>81</v>
      </c>
      <c r="D53" s="35">
        <v>1370.93</v>
      </c>
      <c r="E53" s="3">
        <v>0</v>
      </c>
      <c r="F53" s="3">
        <v>0</v>
      </c>
      <c r="G53" s="3">
        <v>0</v>
      </c>
      <c r="H53" s="5">
        <v>864.98</v>
      </c>
      <c r="I53" s="5">
        <v>199.04</v>
      </c>
      <c r="J53" s="7">
        <f t="shared" si="3"/>
        <v>-505.95000000000005</v>
      </c>
      <c r="K53" s="7">
        <f t="shared" si="4"/>
        <v>864.98</v>
      </c>
      <c r="L53" s="7">
        <f t="shared" si="5"/>
        <v>864.98</v>
      </c>
      <c r="M53" s="7">
        <f t="shared" si="6"/>
        <v>199.04</v>
      </c>
      <c r="N53" s="39">
        <f t="shared" si="9"/>
        <v>0.6309439577513075</v>
      </c>
      <c r="O53" s="39">
        <f t="shared" si="10"/>
      </c>
      <c r="P53" s="39">
        <f t="shared" si="11"/>
      </c>
    </row>
    <row r="54" spans="1:16" ht="18" customHeight="1">
      <c r="A54" s="116"/>
      <c r="B54" s="114"/>
      <c r="C54" s="80" t="s">
        <v>9</v>
      </c>
      <c r="D54" s="81">
        <f>SUM(D50:D53)</f>
        <v>2696822.45</v>
      </c>
      <c r="E54" s="81">
        <f>SUM(E50:E53)</f>
        <v>4882590.18</v>
      </c>
      <c r="F54" s="81">
        <f>SUM(F50:F53)</f>
        <v>3023724.21</v>
      </c>
      <c r="G54" s="81">
        <f>SUM(G50:G53)</f>
        <v>390950.19999999995</v>
      </c>
      <c r="H54" s="81">
        <f>SUM(H50:H53)</f>
        <v>3009556.1199999996</v>
      </c>
      <c r="I54" s="81">
        <f>SUM(I50:I53)</f>
        <v>318195.21</v>
      </c>
      <c r="J54" s="81">
        <f t="shared" si="3"/>
        <v>312733.66999999946</v>
      </c>
      <c r="K54" s="81">
        <f t="shared" si="4"/>
        <v>-14168.090000000317</v>
      </c>
      <c r="L54" s="81">
        <f t="shared" si="5"/>
        <v>-1873034.06</v>
      </c>
      <c r="M54" s="81">
        <f t="shared" si="6"/>
        <v>-72754.98999999993</v>
      </c>
      <c r="N54" s="39">
        <f t="shared" si="9"/>
        <v>1.1159637594977747</v>
      </c>
      <c r="O54" s="39">
        <f t="shared" si="10"/>
        <v>0.9953143577204747</v>
      </c>
      <c r="P54" s="39">
        <f t="shared" si="11"/>
        <v>0.6163851580924614</v>
      </c>
    </row>
    <row r="55" spans="1:16" ht="18" customHeight="1">
      <c r="A55" s="112">
        <v>991</v>
      </c>
      <c r="B55" s="112" t="s">
        <v>51</v>
      </c>
      <c r="C55" s="8" t="s">
        <v>52</v>
      </c>
      <c r="D55" s="36">
        <v>36085.82</v>
      </c>
      <c r="E55" s="5">
        <v>54298.2</v>
      </c>
      <c r="F55" s="5">
        <v>34700</v>
      </c>
      <c r="G55" s="5">
        <v>4500</v>
      </c>
      <c r="H55" s="5">
        <v>35307.66</v>
      </c>
      <c r="I55" s="5">
        <v>3929.71</v>
      </c>
      <c r="J55" s="5">
        <f t="shared" si="3"/>
        <v>-778.1599999999962</v>
      </c>
      <c r="K55" s="5">
        <f t="shared" si="4"/>
        <v>607.6600000000035</v>
      </c>
      <c r="L55" s="5">
        <f t="shared" si="5"/>
        <v>-18990.539999999994</v>
      </c>
      <c r="M55" s="5">
        <f t="shared" si="6"/>
        <v>-570.29</v>
      </c>
      <c r="N55" s="39">
        <f t="shared" si="9"/>
        <v>0.9784358509796924</v>
      </c>
      <c r="O55" s="39">
        <f t="shared" si="10"/>
        <v>1.0175118155619598</v>
      </c>
      <c r="P55" s="39">
        <f t="shared" si="11"/>
        <v>0.6502547045758424</v>
      </c>
    </row>
    <row r="56" spans="1:16" ht="18" customHeight="1">
      <c r="A56" s="112"/>
      <c r="B56" s="112"/>
      <c r="C56" s="6" t="s">
        <v>53</v>
      </c>
      <c r="D56" s="36">
        <v>3553.5</v>
      </c>
      <c r="E56" s="5">
        <v>0</v>
      </c>
      <c r="F56" s="5">
        <v>0</v>
      </c>
      <c r="G56" s="5">
        <v>0</v>
      </c>
      <c r="H56" s="5">
        <v>4452.65</v>
      </c>
      <c r="I56" s="5">
        <v>0</v>
      </c>
      <c r="J56" s="5">
        <f t="shared" si="3"/>
        <v>899.1499999999996</v>
      </c>
      <c r="K56" s="5">
        <f t="shared" si="4"/>
        <v>4452.65</v>
      </c>
      <c r="L56" s="5">
        <f t="shared" si="5"/>
        <v>4452.65</v>
      </c>
      <c r="M56" s="5">
        <f t="shared" si="6"/>
        <v>0</v>
      </c>
      <c r="N56" s="42">
        <f t="shared" si="9"/>
        <v>1.253032221753201</v>
      </c>
      <c r="O56" s="39">
        <f t="shared" si="10"/>
      </c>
      <c r="P56" s="39">
        <f t="shared" si="11"/>
      </c>
    </row>
    <row r="57" spans="1:16" ht="24.75" customHeight="1">
      <c r="A57" s="112"/>
      <c r="B57" s="112"/>
      <c r="C57" s="6" t="s">
        <v>54</v>
      </c>
      <c r="D57" s="36">
        <v>0</v>
      </c>
      <c r="E57" s="3">
        <v>0</v>
      </c>
      <c r="F57" s="3">
        <v>0</v>
      </c>
      <c r="G57" s="3">
        <v>0</v>
      </c>
      <c r="H57" s="5">
        <v>0</v>
      </c>
      <c r="I57" s="5">
        <v>0</v>
      </c>
      <c r="J57" s="3">
        <f t="shared" si="3"/>
        <v>0</v>
      </c>
      <c r="K57" s="3">
        <f t="shared" si="4"/>
        <v>0</v>
      </c>
      <c r="L57" s="3">
        <f t="shared" si="5"/>
        <v>0</v>
      </c>
      <c r="M57" s="3">
        <f t="shared" si="6"/>
        <v>0</v>
      </c>
      <c r="N57" s="42">
        <f t="shared" si="9"/>
      </c>
      <c r="O57" s="39">
        <f t="shared" si="10"/>
      </c>
      <c r="P57" s="39">
        <f t="shared" si="11"/>
      </c>
    </row>
    <row r="58" spans="1:16" ht="18" customHeight="1">
      <c r="A58" s="112"/>
      <c r="B58" s="112"/>
      <c r="C58" s="76" t="s">
        <v>9</v>
      </c>
      <c r="D58" s="28">
        <f>SUM(D55:D57)</f>
        <v>39639.32</v>
      </c>
      <c r="E58" s="28">
        <f>SUM(E55:E57)</f>
        <v>54298.2</v>
      </c>
      <c r="F58" s="28">
        <f>SUM(F55:F57)</f>
        <v>34700</v>
      </c>
      <c r="G58" s="28">
        <f>SUM(G55:G57)</f>
        <v>4500</v>
      </c>
      <c r="H58" s="28">
        <f>SUM(H55:H57)</f>
        <v>39760.310000000005</v>
      </c>
      <c r="I58" s="28">
        <f>SUM(I55:I57)</f>
        <v>3929.71</v>
      </c>
      <c r="J58" s="28">
        <f t="shared" si="3"/>
        <v>120.99000000000524</v>
      </c>
      <c r="K58" s="28">
        <f t="shared" si="4"/>
        <v>5060.310000000005</v>
      </c>
      <c r="L58" s="28">
        <f t="shared" si="5"/>
        <v>-14537.889999999992</v>
      </c>
      <c r="M58" s="28">
        <f t="shared" si="6"/>
        <v>-570.29</v>
      </c>
      <c r="N58" s="75">
        <f t="shared" si="9"/>
        <v>1.003052272339687</v>
      </c>
      <c r="O58" s="39">
        <f t="shared" si="10"/>
        <v>1.1458302593659944</v>
      </c>
      <c r="P58" s="75">
        <f t="shared" si="11"/>
        <v>0.7322583437388349</v>
      </c>
    </row>
    <row r="59" spans="1:16" ht="18" customHeight="1">
      <c r="A59" s="105" t="s">
        <v>55</v>
      </c>
      <c r="B59" s="90" t="s">
        <v>56</v>
      </c>
      <c r="C59" s="6" t="s">
        <v>57</v>
      </c>
      <c r="D59" s="36">
        <v>2957.41</v>
      </c>
      <c r="E59" s="5">
        <v>7767.5</v>
      </c>
      <c r="F59" s="5">
        <v>5687.9000000000015</v>
      </c>
      <c r="G59" s="5">
        <v>231.5</v>
      </c>
      <c r="H59" s="5">
        <v>8721.329999999998</v>
      </c>
      <c r="I59" s="5">
        <v>384.46999999999997</v>
      </c>
      <c r="J59" s="5">
        <f t="shared" si="3"/>
        <v>5763.919999999998</v>
      </c>
      <c r="K59" s="5">
        <f t="shared" si="4"/>
        <v>3033.4299999999967</v>
      </c>
      <c r="L59" s="5">
        <f t="shared" si="5"/>
        <v>953.8299999999981</v>
      </c>
      <c r="M59" s="5">
        <f t="shared" si="6"/>
        <v>152.96999999999997</v>
      </c>
      <c r="N59" s="39">
        <f t="shared" si="9"/>
        <v>2.948975623941218</v>
      </c>
      <c r="O59" s="39">
        <f t="shared" si="10"/>
        <v>1.5333128219553782</v>
      </c>
      <c r="P59" s="39">
        <f t="shared" si="11"/>
        <v>1.1227975539105244</v>
      </c>
    </row>
    <row r="60" spans="1:16" ht="18" customHeight="1">
      <c r="A60" s="105"/>
      <c r="B60" s="90"/>
      <c r="C60" s="76" t="s">
        <v>9</v>
      </c>
      <c r="D60" s="28">
        <f aca="true" t="shared" si="12" ref="D60:J60">D59</f>
        <v>2957.41</v>
      </c>
      <c r="E60" s="28">
        <f t="shared" si="12"/>
        <v>7767.5</v>
      </c>
      <c r="F60" s="28">
        <f t="shared" si="12"/>
        <v>5687.9000000000015</v>
      </c>
      <c r="G60" s="28">
        <f t="shared" si="12"/>
        <v>231.5</v>
      </c>
      <c r="H60" s="28">
        <f t="shared" si="12"/>
        <v>8721.329999999998</v>
      </c>
      <c r="I60" s="28">
        <f t="shared" si="12"/>
        <v>384.46999999999997</v>
      </c>
      <c r="J60" s="82">
        <f t="shared" si="12"/>
        <v>5763.919999999998</v>
      </c>
      <c r="K60" s="82">
        <f t="shared" si="4"/>
        <v>3033.4299999999967</v>
      </c>
      <c r="L60" s="82">
        <f t="shared" si="5"/>
        <v>953.8299999999981</v>
      </c>
      <c r="M60" s="82">
        <f t="shared" si="6"/>
        <v>152.96999999999997</v>
      </c>
      <c r="N60" s="75">
        <f t="shared" si="9"/>
        <v>2.948975623941218</v>
      </c>
      <c r="O60" s="75">
        <f t="shared" si="10"/>
        <v>1.5333128219553782</v>
      </c>
      <c r="P60" s="75">
        <f t="shared" si="11"/>
        <v>1.1227975539105244</v>
      </c>
    </row>
    <row r="61" spans="1:16" ht="18" customHeight="1">
      <c r="A61" s="90"/>
      <c r="B61" s="90" t="s">
        <v>58</v>
      </c>
      <c r="C61" s="9" t="s">
        <v>59</v>
      </c>
      <c r="D61" s="36">
        <v>747.75</v>
      </c>
      <c r="E61" s="5">
        <v>41.2</v>
      </c>
      <c r="F61" s="5">
        <v>41.2</v>
      </c>
      <c r="G61" s="5">
        <v>0</v>
      </c>
      <c r="H61" s="64">
        <v>195.08</v>
      </c>
      <c r="I61" s="64">
        <v>36.26</v>
      </c>
      <c r="J61" s="5">
        <f aca="true" t="shared" si="13" ref="J61:J80">H61-D61</f>
        <v>-552.67</v>
      </c>
      <c r="K61" s="5">
        <f t="shared" si="4"/>
        <v>153.88</v>
      </c>
      <c r="L61" s="5">
        <f t="shared" si="5"/>
        <v>153.88</v>
      </c>
      <c r="M61" s="5">
        <f t="shared" si="6"/>
        <v>36.26</v>
      </c>
      <c r="N61" s="39">
        <f t="shared" si="9"/>
        <v>0.2608893346706787</v>
      </c>
      <c r="O61" s="39">
        <f t="shared" si="10"/>
        <v>4.73495145631068</v>
      </c>
      <c r="P61" s="39">
        <f t="shared" si="11"/>
        <v>4.73495145631068</v>
      </c>
    </row>
    <row r="62" spans="1:16" ht="18" customHeight="1">
      <c r="A62" s="109"/>
      <c r="B62" s="109"/>
      <c r="C62" s="6" t="s">
        <v>96</v>
      </c>
      <c r="D62" s="88">
        <v>119.00999999999999</v>
      </c>
      <c r="E62" s="17">
        <v>47.1</v>
      </c>
      <c r="F62" s="17">
        <v>47.1</v>
      </c>
      <c r="G62" s="17">
        <v>0</v>
      </c>
      <c r="H62" s="5">
        <v>278.23</v>
      </c>
      <c r="I62" s="5">
        <v>6.19</v>
      </c>
      <c r="J62" s="17">
        <f t="shared" si="13"/>
        <v>159.22000000000003</v>
      </c>
      <c r="K62" s="17">
        <f t="shared" si="4"/>
        <v>231.13000000000002</v>
      </c>
      <c r="L62" s="17">
        <f t="shared" si="5"/>
        <v>231.13000000000002</v>
      </c>
      <c r="M62" s="17">
        <f t="shared" si="6"/>
        <v>6.19</v>
      </c>
      <c r="N62" s="39">
        <f t="shared" si="9"/>
        <v>2.3378707671624235</v>
      </c>
      <c r="O62" s="39">
        <f t="shared" si="10"/>
        <v>5.907218683651805</v>
      </c>
      <c r="P62" s="39">
        <f t="shared" si="11"/>
        <v>5.907218683651805</v>
      </c>
    </row>
    <row r="63" spans="1:16" ht="18" customHeight="1">
      <c r="A63" s="90"/>
      <c r="B63" s="90"/>
      <c r="C63" s="6" t="s">
        <v>28</v>
      </c>
      <c r="D63" s="36">
        <v>9531</v>
      </c>
      <c r="E63" s="5">
        <v>7387.5</v>
      </c>
      <c r="F63" s="5">
        <v>7387.5</v>
      </c>
      <c r="G63" s="5">
        <v>0</v>
      </c>
      <c r="H63" s="5">
        <v>7387.5</v>
      </c>
      <c r="I63" s="5">
        <v>0</v>
      </c>
      <c r="J63" s="5">
        <f t="shared" si="13"/>
        <v>-2143.5</v>
      </c>
      <c r="K63" s="5">
        <f t="shared" si="4"/>
        <v>0</v>
      </c>
      <c r="L63" s="5">
        <f t="shared" si="5"/>
        <v>0</v>
      </c>
      <c r="M63" s="5">
        <f t="shared" si="6"/>
        <v>0</v>
      </c>
      <c r="N63" s="39">
        <f t="shared" si="9"/>
        <v>0.7751022977651872</v>
      </c>
      <c r="O63" s="39">
        <f t="shared" si="10"/>
        <v>1</v>
      </c>
      <c r="P63" s="39">
        <f t="shared" si="11"/>
        <v>1</v>
      </c>
    </row>
    <row r="64" spans="1:16" ht="17.25" customHeight="1">
      <c r="A64" s="90"/>
      <c r="B64" s="90"/>
      <c r="C64" s="89" t="s">
        <v>48</v>
      </c>
      <c r="D64" s="36">
        <v>36633.03999999974</v>
      </c>
      <c r="E64" s="3">
        <v>680.5</v>
      </c>
      <c r="F64" s="3">
        <v>460</v>
      </c>
      <c r="G64" s="3">
        <v>80</v>
      </c>
      <c r="H64" s="5">
        <v>71145.43999999895</v>
      </c>
      <c r="I64" s="5">
        <v>1053.7999999999302</v>
      </c>
      <c r="J64" s="3">
        <f t="shared" si="13"/>
        <v>34512.399999999216</v>
      </c>
      <c r="K64" s="3">
        <f t="shared" si="4"/>
        <v>70685.43999999895</v>
      </c>
      <c r="L64" s="3">
        <f t="shared" si="5"/>
        <v>70464.93999999895</v>
      </c>
      <c r="M64" s="3">
        <f t="shared" si="6"/>
        <v>973.7999999999302</v>
      </c>
      <c r="N64" s="39">
        <f t="shared" si="9"/>
        <v>1.9421112744123736</v>
      </c>
      <c r="O64" s="39">
        <f t="shared" si="10"/>
        <v>154.6639999999977</v>
      </c>
      <c r="P64" s="39">
        <f t="shared" si="11"/>
        <v>104.54877296105651</v>
      </c>
    </row>
    <row r="65" spans="1:16" ht="18" customHeight="1">
      <c r="A65" s="90"/>
      <c r="B65" s="90"/>
      <c r="C65" s="6" t="s">
        <v>50</v>
      </c>
      <c r="D65" s="35">
        <v>55847.29000000004</v>
      </c>
      <c r="E65" s="3">
        <v>81594.89999999997</v>
      </c>
      <c r="F65" s="3">
        <v>50793.4</v>
      </c>
      <c r="G65" s="3">
        <v>6832.1</v>
      </c>
      <c r="H65" s="5">
        <v>67264.56000000011</v>
      </c>
      <c r="I65" s="5">
        <v>5372.980000000007</v>
      </c>
      <c r="J65" s="3">
        <f t="shared" si="13"/>
        <v>11417.270000000077</v>
      </c>
      <c r="K65" s="3">
        <f t="shared" si="4"/>
        <v>16471.160000000113</v>
      </c>
      <c r="L65" s="3">
        <f t="shared" si="5"/>
        <v>-14330.339999999851</v>
      </c>
      <c r="M65" s="3">
        <f t="shared" si="6"/>
        <v>-1459.1199999999935</v>
      </c>
      <c r="N65" s="39">
        <f t="shared" si="9"/>
        <v>1.2044373146843843</v>
      </c>
      <c r="O65" s="39">
        <f t="shared" si="10"/>
        <v>1.3242775636204727</v>
      </c>
      <c r="P65" s="39">
        <f t="shared" si="11"/>
        <v>0.8243721114922641</v>
      </c>
    </row>
    <row r="66" spans="1:16" ht="18" customHeight="1">
      <c r="A66" s="90"/>
      <c r="B66" s="90"/>
      <c r="C66" s="6" t="s">
        <v>60</v>
      </c>
      <c r="D66" s="35">
        <v>270.39000000000004</v>
      </c>
      <c r="E66" s="3">
        <v>0</v>
      </c>
      <c r="F66" s="3">
        <v>0</v>
      </c>
      <c r="G66" s="3">
        <v>0</v>
      </c>
      <c r="H66" s="5">
        <v>-5481.56</v>
      </c>
      <c r="I66" s="5">
        <v>-106.88</v>
      </c>
      <c r="J66" s="3">
        <f t="shared" si="13"/>
        <v>-5751.950000000001</v>
      </c>
      <c r="K66" s="3">
        <f t="shared" si="4"/>
        <v>-5481.56</v>
      </c>
      <c r="L66" s="3">
        <f t="shared" si="5"/>
        <v>-5481.56</v>
      </c>
      <c r="M66" s="3">
        <f t="shared" si="6"/>
        <v>-106.88</v>
      </c>
      <c r="N66" s="39">
        <f t="shared" si="9"/>
        <v>-20.27279115351899</v>
      </c>
      <c r="O66" s="39">
        <f t="shared" si="10"/>
      </c>
      <c r="P66" s="39">
        <f t="shared" si="11"/>
      </c>
    </row>
    <row r="67" spans="1:16" ht="18" customHeight="1">
      <c r="A67" s="90"/>
      <c r="B67" s="90"/>
      <c r="C67" s="6" t="s">
        <v>40</v>
      </c>
      <c r="D67" s="35">
        <f>15272.95+525.7</f>
        <v>15798.650000000001</v>
      </c>
      <c r="E67" s="3">
        <v>16333.1</v>
      </c>
      <c r="F67" s="3">
        <v>8050</v>
      </c>
      <c r="G67" s="3">
        <v>2100</v>
      </c>
      <c r="H67" s="5">
        <v>47467.170000000006</v>
      </c>
      <c r="I67" s="5">
        <v>3804.0099999999998</v>
      </c>
      <c r="J67" s="3">
        <f t="shared" si="13"/>
        <v>31668.520000000004</v>
      </c>
      <c r="K67" s="3">
        <f aca="true" t="shared" si="14" ref="K67:K80">H67-F67</f>
        <v>39417.170000000006</v>
      </c>
      <c r="L67" s="3">
        <f aca="true" t="shared" si="15" ref="L67:L81">H67-E67</f>
        <v>31134.070000000007</v>
      </c>
      <c r="M67" s="3">
        <f aca="true" t="shared" si="16" ref="M67:M81">I67-G67</f>
        <v>1704.0099999999998</v>
      </c>
      <c r="N67" s="39">
        <f t="shared" si="9"/>
        <v>3.004507980112225</v>
      </c>
      <c r="O67" s="39">
        <f t="shared" si="10"/>
        <v>5.896542857142858</v>
      </c>
      <c r="P67" s="39">
        <f t="shared" si="11"/>
        <v>2.9061947823744423</v>
      </c>
    </row>
    <row r="68" spans="1:16" ht="18" customHeight="1">
      <c r="A68" s="127"/>
      <c r="B68" s="127"/>
      <c r="C68" s="6" t="s">
        <v>98</v>
      </c>
      <c r="D68" s="35">
        <v>2149.43</v>
      </c>
      <c r="E68" s="3">
        <v>0</v>
      </c>
      <c r="F68" s="3">
        <f>G68</f>
        <v>0</v>
      </c>
      <c r="G68" s="3">
        <v>0</v>
      </c>
      <c r="H68" s="5">
        <v>795.93</v>
      </c>
      <c r="I68" s="5">
        <v>0</v>
      </c>
      <c r="J68" s="3">
        <f t="shared" si="13"/>
        <v>-1353.5</v>
      </c>
      <c r="K68" s="3">
        <f t="shared" si="14"/>
        <v>795.93</v>
      </c>
      <c r="L68" s="3">
        <f t="shared" si="15"/>
        <v>795.93</v>
      </c>
      <c r="M68" s="3">
        <f t="shared" si="16"/>
        <v>0</v>
      </c>
      <c r="N68" s="39">
        <f t="shared" si="9"/>
        <v>0.3702981720735265</v>
      </c>
      <c r="O68" s="39">
        <f t="shared" si="10"/>
      </c>
      <c r="P68" s="39">
        <f t="shared" si="11"/>
      </c>
    </row>
    <row r="69" spans="1:16" ht="15.75">
      <c r="A69" s="90"/>
      <c r="B69" s="90"/>
      <c r="C69" s="76" t="s">
        <v>61</v>
      </c>
      <c r="D69" s="28">
        <f aca="true" t="shared" si="17" ref="D69:I69">SUM(D61:D68)</f>
        <v>121096.55999999976</v>
      </c>
      <c r="E69" s="28">
        <f t="shared" si="17"/>
        <v>106084.29999999997</v>
      </c>
      <c r="F69" s="28">
        <f t="shared" si="17"/>
        <v>66779.20000000001</v>
      </c>
      <c r="G69" s="28">
        <f t="shared" si="17"/>
        <v>9012.1</v>
      </c>
      <c r="H69" s="28">
        <f t="shared" si="17"/>
        <v>189052.34999999907</v>
      </c>
      <c r="I69" s="28">
        <f t="shared" si="17"/>
        <v>10166.359999999937</v>
      </c>
      <c r="J69" s="82">
        <f t="shared" si="13"/>
        <v>67955.78999999931</v>
      </c>
      <c r="K69" s="82">
        <f t="shared" si="14"/>
        <v>122273.14999999906</v>
      </c>
      <c r="L69" s="82">
        <f t="shared" si="15"/>
        <v>82968.0499999991</v>
      </c>
      <c r="M69" s="82">
        <f t="shared" si="16"/>
        <v>1154.2599999999366</v>
      </c>
      <c r="N69" s="75">
        <f aca="true" t="shared" si="18" ref="N69:N81">_xlfn.IFERROR(H69/D69,"")</f>
        <v>1.5611702760177453</v>
      </c>
      <c r="O69" s="75">
        <f aca="true" t="shared" si="19" ref="O69:O80">_xlfn.IFERROR(H69/F69,"")</f>
        <v>2.831006511009402</v>
      </c>
      <c r="P69" s="75">
        <f aca="true" t="shared" si="20" ref="P69:P81">_xlfn.IFERROR(H69/E69,"")</f>
        <v>1.7820954655872652</v>
      </c>
    </row>
    <row r="70" spans="1:16" s="85" customFormat="1" ht="23.25" customHeight="1">
      <c r="A70" s="128" t="s">
        <v>62</v>
      </c>
      <c r="B70" s="128"/>
      <c r="C70" s="128"/>
      <c r="D70" s="84">
        <f>D5+D22</f>
        <v>13854460.359999996</v>
      </c>
      <c r="E70" s="84">
        <f>E5+E22</f>
        <v>26570797.880000003</v>
      </c>
      <c r="F70" s="84">
        <f>F5+F22</f>
        <v>15306348.39</v>
      </c>
      <c r="G70" s="84">
        <f>G5+G22</f>
        <v>1776049.0999999996</v>
      </c>
      <c r="H70" s="84">
        <f>H5+H22</f>
        <v>14475182.799999995</v>
      </c>
      <c r="I70" s="84">
        <f>I5+I22</f>
        <v>758963.97</v>
      </c>
      <c r="J70" s="46">
        <f t="shared" si="13"/>
        <v>620722.4399999995</v>
      </c>
      <c r="K70" s="46">
        <f t="shared" si="14"/>
        <v>-831165.5900000054</v>
      </c>
      <c r="L70" s="46">
        <f t="shared" si="15"/>
        <v>-12095615.080000008</v>
      </c>
      <c r="M70" s="46">
        <f t="shared" si="16"/>
        <v>-1017085.1299999997</v>
      </c>
      <c r="N70" s="47">
        <f t="shared" si="18"/>
        <v>1.044803075967659</v>
      </c>
      <c r="O70" s="47">
        <f t="shared" si="19"/>
        <v>0.9456979830314705</v>
      </c>
      <c r="P70" s="47">
        <f t="shared" si="20"/>
        <v>0.5447778747696377</v>
      </c>
    </row>
    <row r="71" spans="1:16" ht="28.5" customHeight="1">
      <c r="A71" s="129"/>
      <c r="B71" s="120"/>
      <c r="C71" s="45" t="s">
        <v>63</v>
      </c>
      <c r="D71" s="44">
        <f>SUM(D72:D80)</f>
        <v>12626451.36</v>
      </c>
      <c r="E71" s="44">
        <f>SUM(E72:E80)</f>
        <v>28243736.583</v>
      </c>
      <c r="F71" s="44">
        <f>SUM(F72:F80)</f>
        <v>14985279.493</v>
      </c>
      <c r="G71" s="44">
        <f>SUM(G72:G80)</f>
        <v>1628483.2629999998</v>
      </c>
      <c r="H71" s="44">
        <f>SUM(H72:H80)</f>
        <v>15117368.360000001</v>
      </c>
      <c r="I71" s="44">
        <f>SUM(I72:I80)</f>
        <v>1424923.6600000001</v>
      </c>
      <c r="J71" s="44">
        <f>SUM(J72:J80)</f>
        <v>2490916.9999999986</v>
      </c>
      <c r="K71" s="46">
        <f t="shared" si="14"/>
        <v>132088.86700000055</v>
      </c>
      <c r="L71" s="46">
        <f t="shared" si="15"/>
        <v>-13126368.223</v>
      </c>
      <c r="M71" s="46">
        <f t="shared" si="16"/>
        <v>-203559.60299999965</v>
      </c>
      <c r="N71" s="47">
        <f t="shared" si="18"/>
        <v>1.1972776775500922</v>
      </c>
      <c r="O71" s="47">
        <f t="shared" si="19"/>
        <v>1.0088145748006705</v>
      </c>
      <c r="P71" s="47">
        <f t="shared" si="20"/>
        <v>0.5352467551725856</v>
      </c>
    </row>
    <row r="72" spans="1:16" ht="31.5">
      <c r="A72" s="129"/>
      <c r="B72" s="120"/>
      <c r="C72" s="18" t="s">
        <v>64</v>
      </c>
      <c r="D72" s="35">
        <v>539943.4</v>
      </c>
      <c r="E72" s="3">
        <v>384548</v>
      </c>
      <c r="F72" s="3">
        <v>351689.9</v>
      </c>
      <c r="G72" s="3">
        <v>31556</v>
      </c>
      <c r="H72" s="3">
        <v>369367.6</v>
      </c>
      <c r="I72" s="3">
        <v>42723.9</v>
      </c>
      <c r="J72" s="3">
        <f>H72-D72</f>
        <v>-170575.80000000005</v>
      </c>
      <c r="K72" s="3">
        <f>H72-F72</f>
        <v>17677.699999999953</v>
      </c>
      <c r="L72" s="3">
        <f>H72-E72</f>
        <v>-15180.400000000023</v>
      </c>
      <c r="M72" s="3">
        <f>I72-G72</f>
        <v>11167.900000000001</v>
      </c>
      <c r="N72" s="40">
        <f t="shared" si="18"/>
        <v>0.6840857763980446</v>
      </c>
      <c r="O72" s="40">
        <f t="shared" si="19"/>
        <v>1.0502650204057606</v>
      </c>
      <c r="P72" s="40">
        <f t="shared" si="20"/>
        <v>0.9605240438124759</v>
      </c>
    </row>
    <row r="73" spans="1:16" ht="18" customHeight="1">
      <c r="A73" s="129"/>
      <c r="B73" s="120"/>
      <c r="C73" s="19" t="s">
        <v>65</v>
      </c>
      <c r="D73" s="35">
        <v>2335967.9</v>
      </c>
      <c r="E73" s="3">
        <v>9844322.13</v>
      </c>
      <c r="F73" s="3">
        <v>3204207.309999999</v>
      </c>
      <c r="G73" s="35">
        <v>460245.29000000004</v>
      </c>
      <c r="H73" s="35">
        <v>3204207.309999999</v>
      </c>
      <c r="I73" s="35">
        <v>460245.29000000004</v>
      </c>
      <c r="J73" s="3">
        <f aca="true" t="shared" si="21" ref="J73:J78">H73-D73</f>
        <v>868239.4099999992</v>
      </c>
      <c r="K73" s="3">
        <f>H73-F73</f>
        <v>0</v>
      </c>
      <c r="L73" s="3">
        <f>H73-E73</f>
        <v>-6640114.820000002</v>
      </c>
      <c r="M73" s="3">
        <f>I73-G73</f>
        <v>0</v>
      </c>
      <c r="N73" s="40">
        <f t="shared" si="18"/>
        <v>1.3716829370814554</v>
      </c>
      <c r="O73" s="40">
        <f t="shared" si="19"/>
        <v>1</v>
      </c>
      <c r="P73" s="40">
        <f t="shared" si="20"/>
        <v>0.3254878566229932</v>
      </c>
    </row>
    <row r="74" spans="1:16" ht="18" customHeight="1">
      <c r="A74" s="129"/>
      <c r="B74" s="120"/>
      <c r="C74" s="19" t="s">
        <v>66</v>
      </c>
      <c r="D74" s="35">
        <v>7173465.590000002</v>
      </c>
      <c r="E74" s="3">
        <v>12307705.3</v>
      </c>
      <c r="F74" s="3">
        <v>8016052.130000001</v>
      </c>
      <c r="G74" s="35">
        <v>693668.7</v>
      </c>
      <c r="H74" s="35">
        <v>8016052.130000001</v>
      </c>
      <c r="I74" s="35">
        <v>693668.7</v>
      </c>
      <c r="J74" s="3">
        <f t="shared" si="21"/>
        <v>842586.5399999991</v>
      </c>
      <c r="K74" s="3">
        <f>H74-F74</f>
        <v>0</v>
      </c>
      <c r="L74" s="3">
        <f t="shared" si="15"/>
        <v>-4291653.17</v>
      </c>
      <c r="M74" s="3">
        <f>I74-G74</f>
        <v>0</v>
      </c>
      <c r="N74" s="40">
        <f t="shared" si="18"/>
        <v>1.1174587832657323</v>
      </c>
      <c r="O74" s="40">
        <f t="shared" si="19"/>
        <v>1</v>
      </c>
      <c r="P74" s="40">
        <f t="shared" si="20"/>
        <v>0.6513035480301922</v>
      </c>
    </row>
    <row r="75" spans="1:16" ht="18" customHeight="1">
      <c r="A75" s="129"/>
      <c r="B75" s="120"/>
      <c r="C75" s="8" t="s">
        <v>67</v>
      </c>
      <c r="D75" s="35">
        <v>2531481.29</v>
      </c>
      <c r="E75" s="3">
        <v>5484388.19</v>
      </c>
      <c r="F75" s="3">
        <v>3190557.1900000004</v>
      </c>
      <c r="G75" s="3">
        <v>228247.18</v>
      </c>
      <c r="H75" s="3">
        <v>3190557.1900000004</v>
      </c>
      <c r="I75" s="3">
        <v>228247.18</v>
      </c>
      <c r="J75" s="3">
        <f t="shared" si="21"/>
        <v>659075.9000000004</v>
      </c>
      <c r="K75" s="3">
        <f>H75-F75</f>
        <v>0</v>
      </c>
      <c r="L75" s="3">
        <f t="shared" si="15"/>
        <v>-2293831</v>
      </c>
      <c r="M75" s="3">
        <f t="shared" si="16"/>
        <v>0</v>
      </c>
      <c r="N75" s="40">
        <f t="shared" si="18"/>
        <v>1.2603518748503175</v>
      </c>
      <c r="O75" s="40">
        <f t="shared" si="19"/>
        <v>1</v>
      </c>
      <c r="P75" s="40">
        <f t="shared" si="20"/>
        <v>0.5817526184265231</v>
      </c>
    </row>
    <row r="76" spans="1:16" ht="31.5">
      <c r="A76" s="130"/>
      <c r="B76" s="132"/>
      <c r="C76" s="8" t="s">
        <v>83</v>
      </c>
      <c r="D76" s="35">
        <v>4.06</v>
      </c>
      <c r="E76" s="3">
        <v>0</v>
      </c>
      <c r="F76" s="3">
        <v>0</v>
      </c>
      <c r="G76" s="3">
        <v>0</v>
      </c>
      <c r="H76" s="3">
        <v>924.17</v>
      </c>
      <c r="I76" s="3">
        <v>0</v>
      </c>
      <c r="J76" s="3">
        <f t="shared" si="21"/>
        <v>920.11</v>
      </c>
      <c r="K76" s="3">
        <f>H76-F76</f>
        <v>924.17</v>
      </c>
      <c r="L76" s="3">
        <f t="shared" si="15"/>
        <v>924.17</v>
      </c>
      <c r="M76" s="3">
        <f t="shared" si="16"/>
        <v>0</v>
      </c>
      <c r="N76" s="41">
        <f t="shared" si="18"/>
        <v>227.628078817734</v>
      </c>
      <c r="O76" s="40">
        <f t="shared" si="19"/>
      </c>
      <c r="P76" s="41">
        <f t="shared" si="20"/>
      </c>
    </row>
    <row r="77" spans="1:16" ht="30.75" customHeight="1">
      <c r="A77" s="129"/>
      <c r="B77" s="120"/>
      <c r="C77" s="31" t="s">
        <v>68</v>
      </c>
      <c r="D77" s="35">
        <v>62670.44</v>
      </c>
      <c r="E77" s="87">
        <f>214766.093</f>
        <v>214766.093</v>
      </c>
      <c r="F77" s="3">
        <v>214766.093</v>
      </c>
      <c r="G77" s="3">
        <v>214766.093</v>
      </c>
      <c r="H77" s="3">
        <v>494848.06</v>
      </c>
      <c r="I77" s="3">
        <v>0</v>
      </c>
      <c r="J77" s="3">
        <f t="shared" si="21"/>
        <v>432177.62</v>
      </c>
      <c r="K77" s="3">
        <f>H77-F77</f>
        <v>280081.967</v>
      </c>
      <c r="L77" s="3">
        <f>H77-E77</f>
        <v>280081.967</v>
      </c>
      <c r="M77" s="3">
        <f t="shared" si="16"/>
        <v>-214766.093</v>
      </c>
      <c r="N77" s="40">
        <f t="shared" si="18"/>
        <v>7.896036153567774</v>
      </c>
      <c r="O77" s="40">
        <f t="shared" si="19"/>
        <v>2.3041256330905084</v>
      </c>
      <c r="P77" s="40">
        <f t="shared" si="20"/>
        <v>2.3041256330905084</v>
      </c>
    </row>
    <row r="78" spans="1:16" ht="39" customHeight="1">
      <c r="A78" s="131"/>
      <c r="B78" s="133"/>
      <c r="C78" s="31" t="s">
        <v>86</v>
      </c>
      <c r="D78" s="35"/>
      <c r="E78" s="83">
        <v>0</v>
      </c>
      <c r="F78" s="83">
        <v>0</v>
      </c>
      <c r="G78" s="83">
        <v>0</v>
      </c>
      <c r="H78" s="83"/>
      <c r="I78" s="83">
        <v>0</v>
      </c>
      <c r="J78" s="3">
        <f t="shared" si="21"/>
        <v>0</v>
      </c>
      <c r="K78" s="3">
        <f>H78-F78</f>
        <v>0</v>
      </c>
      <c r="L78" s="3">
        <f>H78-E78</f>
        <v>0</v>
      </c>
      <c r="M78" s="3">
        <f t="shared" si="16"/>
        <v>0</v>
      </c>
      <c r="N78" s="41">
        <f t="shared" si="18"/>
      </c>
      <c r="O78" s="40">
        <f t="shared" si="19"/>
      </c>
      <c r="P78" s="41">
        <f t="shared" si="20"/>
      </c>
    </row>
    <row r="79" spans="1:16" ht="31.5">
      <c r="A79" s="129"/>
      <c r="B79" s="120"/>
      <c r="C79" s="6" t="s">
        <v>69</v>
      </c>
      <c r="D79" s="35">
        <v>322724.93000000005</v>
      </c>
      <c r="E79" s="5">
        <v>8006.87</v>
      </c>
      <c r="F79" s="5">
        <v>8006.87</v>
      </c>
      <c r="G79" s="5">
        <v>0</v>
      </c>
      <c r="H79" s="5">
        <v>159864.75000000003</v>
      </c>
      <c r="I79" s="5">
        <v>38.59</v>
      </c>
      <c r="J79" s="3">
        <f t="shared" si="13"/>
        <v>-162860.18000000002</v>
      </c>
      <c r="K79" s="3">
        <f t="shared" si="14"/>
        <v>151857.88000000003</v>
      </c>
      <c r="L79" s="3">
        <f t="shared" si="15"/>
        <v>151857.88000000003</v>
      </c>
      <c r="M79" s="3">
        <f t="shared" si="16"/>
        <v>38.59</v>
      </c>
      <c r="N79" s="40">
        <f t="shared" si="18"/>
        <v>0.49535915926916463</v>
      </c>
      <c r="O79" s="40">
        <f t="shared" si="19"/>
        <v>19.965947992161734</v>
      </c>
      <c r="P79" s="40">
        <f t="shared" si="20"/>
        <v>19.965947992161734</v>
      </c>
    </row>
    <row r="80" spans="1:16" ht="18" customHeight="1">
      <c r="A80" s="129"/>
      <c r="B80" s="120"/>
      <c r="C80" s="6" t="s">
        <v>70</v>
      </c>
      <c r="D80" s="35">
        <v>-339806.25</v>
      </c>
      <c r="E80" s="3">
        <v>0</v>
      </c>
      <c r="F80" s="3">
        <v>0</v>
      </c>
      <c r="G80" s="3">
        <v>0</v>
      </c>
      <c r="H80" s="3">
        <v>-318452.85000000003</v>
      </c>
      <c r="I80" s="3">
        <v>0</v>
      </c>
      <c r="J80" s="3">
        <f t="shared" si="13"/>
        <v>21353.399999999965</v>
      </c>
      <c r="K80" s="3">
        <f t="shared" si="14"/>
        <v>-318452.85000000003</v>
      </c>
      <c r="L80" s="3">
        <f t="shared" si="15"/>
        <v>-318452.85000000003</v>
      </c>
      <c r="M80" s="3">
        <f t="shared" si="16"/>
        <v>0</v>
      </c>
      <c r="N80" s="40">
        <f t="shared" si="18"/>
        <v>0.9371600728356233</v>
      </c>
      <c r="O80" s="40">
        <f t="shared" si="19"/>
      </c>
      <c r="P80" s="40">
        <f t="shared" si="20"/>
      </c>
    </row>
    <row r="81" spans="1:16" ht="30" customHeight="1">
      <c r="A81" s="126" t="s">
        <v>71</v>
      </c>
      <c r="B81" s="126"/>
      <c r="C81" s="126"/>
      <c r="D81" s="50">
        <f>D70+D71</f>
        <v>26480911.719999995</v>
      </c>
      <c r="E81" s="50">
        <f>E70+E71</f>
        <v>54814534.463</v>
      </c>
      <c r="F81" s="50">
        <f>F70+F71</f>
        <v>30291627.883</v>
      </c>
      <c r="G81" s="50">
        <f>G70+G71</f>
        <v>3404532.3629999994</v>
      </c>
      <c r="H81" s="50">
        <f>H70+H71</f>
        <v>29592551.159999996</v>
      </c>
      <c r="I81" s="50">
        <f>I70+I71</f>
        <v>2183887.63</v>
      </c>
      <c r="J81" s="50">
        <f>J70+J71</f>
        <v>3111639.439999998</v>
      </c>
      <c r="K81" s="50">
        <f>K70+K71</f>
        <v>-699076.7230000049</v>
      </c>
      <c r="L81" s="43">
        <f t="shared" si="15"/>
        <v>-25221983.303000003</v>
      </c>
      <c r="M81" s="43">
        <f t="shared" si="16"/>
        <v>-1220644.7329999995</v>
      </c>
      <c r="N81" s="49">
        <f t="shared" si="18"/>
        <v>1.1175049965386918</v>
      </c>
      <c r="O81" s="49">
        <f>_xlfn.IFERROR(H81/F81,"")</f>
        <v>0.976921784273194</v>
      </c>
      <c r="P81" s="49">
        <f t="shared" si="20"/>
        <v>0.5398668701633336</v>
      </c>
    </row>
    <row r="82" spans="1:16" ht="15.75">
      <c r="A82" s="20" t="s">
        <v>72</v>
      </c>
      <c r="B82" s="21"/>
      <c r="C82" s="22"/>
      <c r="D82" s="23"/>
      <c r="E82" s="23"/>
      <c r="F82" s="23"/>
      <c r="G82" s="23"/>
      <c r="H82" s="65"/>
      <c r="I82" s="65"/>
      <c r="J82" s="23"/>
      <c r="K82" s="23"/>
      <c r="L82" s="23"/>
      <c r="M82" s="23"/>
      <c r="N82" s="24"/>
      <c r="O82" s="25"/>
      <c r="P82" s="24"/>
    </row>
  </sheetData>
  <sheetProtection/>
  <autoFilter ref="A4:P83"/>
  <mergeCells count="35">
    <mergeCell ref="A81:C81"/>
    <mergeCell ref="A61:A69"/>
    <mergeCell ref="B61:B69"/>
    <mergeCell ref="A70:C70"/>
    <mergeCell ref="A71:A80"/>
    <mergeCell ref="B71:B80"/>
    <mergeCell ref="A1:P1"/>
    <mergeCell ref="A3:A4"/>
    <mergeCell ref="B3:B4"/>
    <mergeCell ref="C3:C4"/>
    <mergeCell ref="D3:D4"/>
    <mergeCell ref="E3:G3"/>
    <mergeCell ref="O3:O4"/>
    <mergeCell ref="P3:P4"/>
    <mergeCell ref="A59:A60"/>
    <mergeCell ref="B59:B60"/>
    <mergeCell ref="A30:A37"/>
    <mergeCell ref="B30:B37"/>
    <mergeCell ref="A38:A47"/>
    <mergeCell ref="B38:B47"/>
    <mergeCell ref="A48:A49"/>
    <mergeCell ref="B48:B49"/>
    <mergeCell ref="A55:A58"/>
    <mergeCell ref="B55:B58"/>
    <mergeCell ref="B50:B54"/>
    <mergeCell ref="A50:A54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" right="0" top="0.74" bottom="0.43" header="0.19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2023-08-25T10:28:49Z</cp:lastPrinted>
  <dcterms:created xsi:type="dcterms:W3CDTF">2015-02-26T11:08:47Z</dcterms:created>
  <dcterms:modified xsi:type="dcterms:W3CDTF">2023-08-28T10:01:34Z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