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19.02.2024" sheetId="1" r:id="rId1"/>
  </sheets>
  <definedNames>
    <definedName name="_xlfn.IFERROR" hidden="1">#NAME?</definedName>
    <definedName name="_xlnm._FilterDatabase" localSheetId="0" hidden="1">'19.02.2024'!$A$4:$Q$86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'19.02.2024'!$3:$4</definedName>
    <definedName name="о">#REF!</definedName>
    <definedName name="_xlnm.Print_Area" localSheetId="0">'19.02.2024'!$A$1:$Q$83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<sst xmlns="http://schemas.openxmlformats.org/spreadsheetml/2006/main" count="135" uniqueCount="111">
  <si>
    <t>тыс. руб.</t>
  </si>
  <si>
    <t>Код адм.</t>
  </si>
  <si>
    <t xml:space="preserve">Администраторы, кураторы доходов    </t>
  </si>
  <si>
    <t>Вид дохода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</si>
  <si>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</si>
  <si>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</si>
  <si>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</si>
  <si>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</si>
  <si>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</si>
  <si>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</si>
  <si>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</si>
  <si>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</si>
  <si>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</si>
  <si>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</si>
  <si>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</si>
  <si>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</si>
  <si>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</si>
  <si>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</si>
  <si>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</si>
  <si>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</si>
  <si>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</si>
  <si>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</si>
  <si>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</si>
  <si>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</si>
  <si>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</si>
  <si>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</si>
  <si>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</si>
  <si>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</si>
  <si>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</si>
  <si>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</si>
  <si>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</si>
  <si>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</si>
  <si>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</si>
  <si>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</si>
  <si>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</si>
  <si>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</si>
  <si>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</si>
  <si>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</si>
  <si>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</si>
  <si>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</si>
  <si>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</si>
  <si>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</si>
  <si>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</si>
  <si>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</si>
  <si>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</si>
  <si>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</si>
  <si>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</si>
  <si>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</si>
  <si>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</si>
  <si>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</si>
  <si>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</si>
  <si>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</si>
  <si>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</si>
  <si>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</si>
  <si>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</si>
  <si>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</si>
  <si>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</si>
  <si>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</si>
  <si>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</si>
  <si>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</si>
  <si>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</si>
  <si>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</si>
  <si>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</si>
  <si>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</si>
  <si>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</si>
  <si>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</si>
  <si>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</si>
  <si>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</si>
  <si>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</si>
  <si>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</si>
  <si>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</si>
  <si>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</si>
  <si>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</si>
  <si>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</si>
  <si>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</si>
  <si>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</si>
  <si>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</si>
  <si>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</si>
  <si>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</si>
  <si>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</si>
  <si>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</si>
  <si>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</si>
  <si>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</si>
  <si>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</si>
  <si>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</si>
  <si>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</si>
  <si>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</si>
  <si>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</si>
  <si>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</si>
  <si>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</si>
  <si>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</si>
  <si>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</si>
  <si>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</si>
  <si>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</si>
  <si>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</si>
  <si>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</si>
  <si>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</si>
  <si>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</si>
  <si>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</si>
  <si>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</si>
  <si>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</si>
  <si>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</si>
  <si>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январь-февраль</t>
  </si>
  <si>
    <t>факта отч.пер. от плана отч.пер.</t>
  </si>
  <si>
    <t>февраль</t>
  </si>
  <si>
    <t>Февраль</t>
  </si>
  <si>
    <t>факта за февраль от плана февраля</t>
  </si>
  <si>
    <t>Исполн. плана отч. периода</t>
  </si>
  <si>
    <t xml:space="preserve">2024 год    </t>
  </si>
  <si>
    <t>Факт с нач. 2023 года       по 16.02.2023</t>
  </si>
  <si>
    <r>
      <t>с нач. года на 19.02.2024 (по 16.02.2024</t>
    </r>
    <r>
      <rPr>
        <sz val="12"/>
        <rFont val="Times New Roman"/>
        <family val="1"/>
      </rPr>
      <t xml:space="preserve"> вкл.) 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</si>
</sst>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7" fontId="45" fillId="0" borderId="0" xfId="0" applyNumberFormat="1" applyFont="1" applyFill="1" applyAlignment="1">
      <alignment horizontal="left"/>
    </xf>
    <xf numFmtId="167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7" fontId="9" fillId="0" borderId="12" xfId="0" applyNumberFormat="1" applyFont="1" applyFill="1" applyBorder="1" applyAlignment="1">
      <alignment horizontal="center" wrapText="1"/>
    </xf>
    <xf numFmtId="167" fontId="46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167" fontId="46" fillId="0" borderId="12" xfId="0" applyNumberFormat="1" applyFont="1" applyFill="1" applyBorder="1" applyAlignment="1">
      <alignment horizont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15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9" fontId="3" fillId="0" borderId="10" xfId="162" applyFont="1" applyFill="1" applyBorder="1" applyAlignment="1" applyProtection="1">
      <alignment horizontal="center" vertical="top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162" applyFont="1" applyFill="1" applyBorder="1" applyAlignment="1" applyProtection="1">
      <alignment horizontal="center" vertical="top" wrapText="1"/>
      <protection/>
    </xf>
    <xf numFmtId="9" fontId="3" fillId="0" borderId="17" xfId="162" applyFont="1" applyFill="1" applyBorder="1" applyAlignment="1" applyProtection="1">
      <alignment horizontal="center" vertical="top" wrapText="1"/>
      <protection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</cellXfs>
  <cellStyles count="1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Обычный 96" xfId="156"/>
    <cellStyle name="Обычный 97" xfId="157"/>
    <cellStyle name="Плохой" xfId="158"/>
    <cellStyle name="Пояснение" xfId="159"/>
    <cellStyle name="Примечание" xfId="160"/>
    <cellStyle name="Percent" xfId="161"/>
    <cellStyle name="Процентный 2" xfId="162"/>
    <cellStyle name="Процентный 2 2" xfId="163"/>
    <cellStyle name="Связанная ячейка" xfId="164"/>
    <cellStyle name="Текст предупреждения" xfId="165"/>
    <cellStyle name="Comma" xfId="166"/>
    <cellStyle name="Comma [0]" xfId="167"/>
    <cellStyle name="Финансовый 2" xfId="168"/>
    <cellStyle name="Финансовый 3" xfId="169"/>
    <cellStyle name="Хороший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90" zoomScaleNormal="90" zoomScalePageLayoutView="0" workbookViewId="0" topLeftCell="A1">
      <pane xSplit="3" ySplit="4" topLeftCell="F6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81" sqref="E81"/>
    </sheetView>
  </sheetViews>
  <sheetFormatPr defaultColWidth="9.00390625" defaultRowHeight="12.75"/>
  <cols>
    <col min="1" max="1" width="8.875" style="17" customWidth="1"/>
    <col min="2" max="2" width="10.75390625" style="17" customWidth="1"/>
    <col min="3" max="3" width="64.375" style="17" customWidth="1"/>
    <col min="4" max="4" width="15.75390625" style="20" customWidth="1"/>
    <col min="5" max="6" width="14.375" style="17" customWidth="1"/>
    <col min="7" max="7" width="15.25390625" style="20" customWidth="1"/>
    <col min="8" max="8" width="17.125" style="60" customWidth="1"/>
    <col min="9" max="9" width="14.125" style="60" customWidth="1"/>
    <col min="10" max="11" width="16.00390625" style="41" customWidth="1"/>
    <col min="12" max="12" width="15.875" style="17" customWidth="1"/>
    <col min="13" max="13" width="15.25390625" style="17" customWidth="1"/>
    <col min="14" max="14" width="11.625" style="17" customWidth="1"/>
    <col min="15" max="16" width="13.375" style="17" customWidth="1"/>
    <col min="17" max="17" width="12.75390625" style="17" customWidth="1"/>
    <col min="18" max="16384" width="9.125" style="17" customWidth="1"/>
  </cols>
  <sheetData>
    <row r="1" spans="1:17" ht="20.25" customHeight="1">
      <c r="A1" s="148" t="s">
        <v>96</v>
      </c>
      <c r="B1" s="148"/>
      <c r="C1" s="148"/>
      <c r="D1" s="149"/>
      <c r="E1" s="148"/>
      <c r="F1" s="148"/>
      <c r="G1" s="149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20.25" customHeight="1">
      <c r="A2" s="13"/>
      <c r="B2" s="61"/>
      <c r="C2" s="62"/>
      <c r="D2" s="63"/>
      <c r="E2" s="62"/>
      <c r="F2" s="103"/>
      <c r="G2" s="63"/>
      <c r="H2" s="64"/>
      <c r="I2" s="65"/>
      <c r="J2" s="65"/>
      <c r="K2" s="110"/>
      <c r="L2" s="62"/>
      <c r="M2" s="62"/>
      <c r="N2" s="66"/>
      <c r="O2" s="66"/>
      <c r="P2" s="66"/>
      <c r="Q2" s="12" t="s">
        <v>0</v>
      </c>
    </row>
    <row r="3" spans="1:17" ht="20.25" customHeight="1">
      <c r="A3" s="150" t="s">
        <v>1</v>
      </c>
      <c r="B3" s="119" t="s">
        <v>2</v>
      </c>
      <c r="C3" s="151" t="s">
        <v>3</v>
      </c>
      <c r="D3" s="156" t="s">
        <v>109</v>
      </c>
      <c r="E3" s="153" t="s">
        <v>97</v>
      </c>
      <c r="F3" s="154"/>
      <c r="G3" s="123"/>
      <c r="H3" s="120" t="s">
        <v>98</v>
      </c>
      <c r="I3" s="121"/>
      <c r="J3" s="67"/>
      <c r="K3" s="111"/>
      <c r="L3" s="122" t="s">
        <v>95</v>
      </c>
      <c r="M3" s="123"/>
      <c r="N3" s="158" t="s">
        <v>101</v>
      </c>
      <c r="O3" s="155" t="s">
        <v>91</v>
      </c>
      <c r="P3" s="159" t="s">
        <v>107</v>
      </c>
      <c r="Q3" s="141" t="s">
        <v>89</v>
      </c>
    </row>
    <row r="4" spans="1:17" ht="61.5" customHeight="1">
      <c r="A4" s="150"/>
      <c r="B4" s="119"/>
      <c r="C4" s="152"/>
      <c r="D4" s="157"/>
      <c r="E4" s="68" t="s">
        <v>108</v>
      </c>
      <c r="F4" s="102" t="s">
        <v>102</v>
      </c>
      <c r="G4" s="68" t="s">
        <v>104</v>
      </c>
      <c r="H4" s="69" t="s">
        <v>110</v>
      </c>
      <c r="I4" s="68" t="s">
        <v>105</v>
      </c>
      <c r="J4" s="70" t="s">
        <v>99</v>
      </c>
      <c r="K4" s="102" t="s">
        <v>103</v>
      </c>
      <c r="L4" s="68" t="s">
        <v>100</v>
      </c>
      <c r="M4" s="68" t="s">
        <v>106</v>
      </c>
      <c r="N4" s="158"/>
      <c r="O4" s="155"/>
      <c r="P4" s="160"/>
      <c r="Q4" s="141"/>
    </row>
    <row r="5" spans="1:17" s="50" customFormat="1" ht="25.5" customHeight="1">
      <c r="A5" s="55"/>
      <c r="B5" s="79"/>
      <c r="C5" s="56" t="s">
        <v>4</v>
      </c>
      <c r="D5" s="45">
        <f>D16+D18+D20+D17+D19</f>
        <v>929042.6799999999</v>
      </c>
      <c r="E5" s="45">
        <f>E16+E18+E20+E17+E19</f>
        <v>21747223.4</v>
      </c>
      <c r="F5" s="45">
        <f>F16+F18+F20+F17+F19</f>
        <v>2751659.4</v>
      </c>
      <c r="G5" s="45">
        <f>G16+G18+G20+G17+G19</f>
        <v>1661698.7000000002</v>
      </c>
      <c r="H5" s="45">
        <f>H16+H18+H20+H17+H19</f>
        <v>1217489.5599999998</v>
      </c>
      <c r="I5" s="45">
        <f>I16+I18+I20+I17+I19</f>
        <v>312566.92</v>
      </c>
      <c r="J5" s="46">
        <f aca="true" t="shared" si="0" ref="J5:J36">H5-D5</f>
        <v>288446.8799999999</v>
      </c>
      <c r="K5" s="104">
        <f>H5-F5</f>
        <v>-1534169.84</v>
      </c>
      <c r="L5" s="46">
        <f>H5-E5</f>
        <v>-20529733.84</v>
      </c>
      <c r="M5" s="46">
        <f>I5-G5</f>
        <v>-1349131.7800000003</v>
      </c>
      <c r="N5" s="57">
        <f aca="true" t="shared" si="1" ref="N5:N36">_xlfn.IFERROR(H5/D5,"")</f>
        <v>1.3104775337124446</v>
      </c>
      <c r="O5" s="57">
        <f>_xlfn.IFERROR(I5/G5,"")</f>
        <v>0.18810083921952875</v>
      </c>
      <c r="P5" s="57">
        <f>_xlfn.IFERROR(H5/F5,"")</f>
        <v>0.4424564900728629</v>
      </c>
      <c r="Q5" s="57">
        <f>_xlfn.IFERROR(H5/E5,"")</f>
        <v>0.05598367835776221</v>
      </c>
    </row>
    <row r="6" spans="1:18" ht="18" customHeight="1">
      <c r="A6" s="130" t="s">
        <v>8</v>
      </c>
      <c r="B6" s="51" t="s">
        <v>9</v>
      </c>
      <c r="C6" s="80" t="s">
        <v>10</v>
      </c>
      <c r="D6" s="36">
        <v>854132.4900000001</v>
      </c>
      <c r="E6" s="36">
        <f>16497200.1</f>
        <v>16497200.1</v>
      </c>
      <c r="F6" s="105">
        <v>1927262.5</v>
      </c>
      <c r="G6" s="36">
        <v>1086299.6</v>
      </c>
      <c r="H6" s="36">
        <v>973840.7099999998</v>
      </c>
      <c r="I6" s="36">
        <v>279449.84</v>
      </c>
      <c r="J6" s="36">
        <f t="shared" si="0"/>
        <v>119708.21999999974</v>
      </c>
      <c r="K6" s="112">
        <f aca="true" t="shared" si="2" ref="K6:K69">H6-F6</f>
        <v>-953421.7900000002</v>
      </c>
      <c r="L6" s="36">
        <f aca="true" t="shared" si="3" ref="L6:L36">H6-E6</f>
        <v>-15523359.39</v>
      </c>
      <c r="M6" s="36">
        <f aca="true" t="shared" si="4" ref="M6:M36">I6-G6</f>
        <v>-806849.76</v>
      </c>
      <c r="N6" s="37">
        <f t="shared" si="1"/>
        <v>1.140151816493949</v>
      </c>
      <c r="O6" s="37">
        <f aca="true" t="shared" si="5" ref="O6:O36">_xlfn.IFERROR(I6/G6,"")</f>
        <v>0.2572493260606927</v>
      </c>
      <c r="P6" s="78">
        <f aca="true" t="shared" si="6" ref="P6:P69">_xlfn.IFERROR(H6/F6,"")</f>
        <v>0.5052973894319014</v>
      </c>
      <c r="Q6" s="37">
        <f aca="true" t="shared" si="7" ref="Q6:Q44">_xlfn.IFERROR(H6/E6,"")</f>
        <v>0.05903066605829676</v>
      </c>
      <c r="R6" s="18"/>
    </row>
    <row r="7" spans="1:18" ht="18" customHeight="1">
      <c r="A7" s="125"/>
      <c r="B7" s="51" t="s">
        <v>5</v>
      </c>
      <c r="C7" s="81" t="s">
        <v>6</v>
      </c>
      <c r="D7" s="36">
        <v>8715.08</v>
      </c>
      <c r="E7" s="38">
        <v>79229.2</v>
      </c>
      <c r="F7" s="106">
        <v>9128.4</v>
      </c>
      <c r="G7" s="38">
        <v>6025</v>
      </c>
      <c r="H7" s="36">
        <v>6808.5</v>
      </c>
      <c r="I7" s="36">
        <v>123.66</v>
      </c>
      <c r="J7" s="38">
        <f t="shared" si="0"/>
        <v>-1906.58</v>
      </c>
      <c r="K7" s="112">
        <f t="shared" si="2"/>
        <v>-2319.8999999999996</v>
      </c>
      <c r="L7" s="38">
        <f t="shared" si="3"/>
        <v>-72420.7</v>
      </c>
      <c r="M7" s="38">
        <f t="shared" si="4"/>
        <v>-5901.34</v>
      </c>
      <c r="N7" s="37">
        <f t="shared" si="1"/>
        <v>0.7812320713062875</v>
      </c>
      <c r="O7" s="37">
        <f t="shared" si="5"/>
        <v>0.02052448132780083</v>
      </c>
      <c r="P7" s="78">
        <f t="shared" si="6"/>
        <v>0.7458590771657684</v>
      </c>
      <c r="Q7" s="37">
        <f t="shared" si="7"/>
        <v>0.08593422627011253</v>
      </c>
      <c r="R7" s="18"/>
    </row>
    <row r="8" spans="1:18" ht="18" customHeight="1">
      <c r="A8" s="125"/>
      <c r="B8" s="51" t="s">
        <v>9</v>
      </c>
      <c r="C8" s="82" t="s">
        <v>83</v>
      </c>
      <c r="D8" s="36">
        <v>20366.48</v>
      </c>
      <c r="E8" s="35">
        <v>957429</v>
      </c>
      <c r="F8" s="105">
        <v>33329.5</v>
      </c>
      <c r="G8" s="35">
        <v>19148.6</v>
      </c>
      <c r="H8" s="36">
        <v>10931.26</v>
      </c>
      <c r="I8" s="36">
        <v>5312.88</v>
      </c>
      <c r="J8" s="36">
        <f t="shared" si="0"/>
        <v>-9435.22</v>
      </c>
      <c r="K8" s="112">
        <f t="shared" si="2"/>
        <v>-22398.239999999998</v>
      </c>
      <c r="L8" s="36">
        <f t="shared" si="3"/>
        <v>-946497.74</v>
      </c>
      <c r="M8" s="36">
        <f t="shared" si="4"/>
        <v>-13835.719999999998</v>
      </c>
      <c r="N8" s="37">
        <f t="shared" si="1"/>
        <v>0.5367279961976739</v>
      </c>
      <c r="O8" s="37">
        <f t="shared" si="5"/>
        <v>0.2774552708814222</v>
      </c>
      <c r="P8" s="78">
        <f t="shared" si="6"/>
        <v>0.3279755171844762</v>
      </c>
      <c r="Q8" s="37">
        <f t="shared" si="7"/>
        <v>0.011417306139671976</v>
      </c>
      <c r="R8" s="18"/>
    </row>
    <row r="9" spans="1:18" ht="18" customHeight="1">
      <c r="A9" s="125"/>
      <c r="B9" s="51" t="s">
        <v>9</v>
      </c>
      <c r="C9" s="80" t="s">
        <v>11</v>
      </c>
      <c r="D9" s="36">
        <v>-3954.7</v>
      </c>
      <c r="E9" s="36">
        <v>0</v>
      </c>
      <c r="F9" s="105"/>
      <c r="G9" s="36"/>
      <c r="H9" s="36">
        <v>138.14</v>
      </c>
      <c r="I9" s="36">
        <v>134.43</v>
      </c>
      <c r="J9" s="36">
        <f t="shared" si="0"/>
        <v>4092.8399999999997</v>
      </c>
      <c r="K9" s="112">
        <f t="shared" si="2"/>
        <v>138.14</v>
      </c>
      <c r="L9" s="36">
        <f t="shared" si="3"/>
        <v>138.14</v>
      </c>
      <c r="M9" s="36">
        <f t="shared" si="4"/>
        <v>134.43</v>
      </c>
      <c r="N9" s="37">
        <f t="shared" si="1"/>
        <v>-0.03493058891951349</v>
      </c>
      <c r="O9" s="37">
        <f t="shared" si="5"/>
      </c>
      <c r="P9" s="78">
        <f t="shared" si="6"/>
      </c>
      <c r="Q9" s="37">
        <f t="shared" si="7"/>
      </c>
      <c r="R9" s="18"/>
    </row>
    <row r="10" spans="1:18" ht="18" customHeight="1">
      <c r="A10" s="125"/>
      <c r="B10" s="51" t="s">
        <v>9</v>
      </c>
      <c r="C10" s="80" t="s">
        <v>12</v>
      </c>
      <c r="D10" s="36">
        <v>-0.9</v>
      </c>
      <c r="E10" s="36">
        <v>792.3</v>
      </c>
      <c r="F10" s="105">
        <v>10</v>
      </c>
      <c r="G10" s="36">
        <v>10</v>
      </c>
      <c r="H10" s="36">
        <v>44.17</v>
      </c>
      <c r="I10" s="36">
        <v>0</v>
      </c>
      <c r="J10" s="36">
        <f t="shared" si="0"/>
        <v>45.07</v>
      </c>
      <c r="K10" s="112">
        <f t="shared" si="2"/>
        <v>34.17</v>
      </c>
      <c r="L10" s="36">
        <f t="shared" si="3"/>
        <v>-748.13</v>
      </c>
      <c r="M10" s="36">
        <f t="shared" si="4"/>
        <v>-10</v>
      </c>
      <c r="N10" s="37">
        <f t="shared" si="1"/>
        <v>-49.077777777777776</v>
      </c>
      <c r="O10" s="37">
        <f t="shared" si="5"/>
        <v>0</v>
      </c>
      <c r="P10" s="78">
        <f t="shared" si="6"/>
        <v>4.417</v>
      </c>
      <c r="Q10" s="37">
        <f t="shared" si="7"/>
        <v>0.05574908494257226</v>
      </c>
      <c r="R10" s="18"/>
    </row>
    <row r="11" spans="1:18" ht="18" customHeight="1">
      <c r="A11" s="125"/>
      <c r="B11" s="51" t="s">
        <v>9</v>
      </c>
      <c r="C11" s="80" t="s">
        <v>85</v>
      </c>
      <c r="D11" s="36">
        <v>-15252.300000000001</v>
      </c>
      <c r="E11" s="36">
        <v>354934.4</v>
      </c>
      <c r="F11" s="105">
        <v>189059.3</v>
      </c>
      <c r="G11" s="36">
        <v>2000</v>
      </c>
      <c r="H11" s="36">
        <v>161437.4</v>
      </c>
      <c r="I11" s="36">
        <v>-1409.0900000000001</v>
      </c>
      <c r="J11" s="36">
        <f t="shared" si="0"/>
        <v>176689.69999999998</v>
      </c>
      <c r="K11" s="112">
        <f t="shared" si="2"/>
        <v>-27621.899999999994</v>
      </c>
      <c r="L11" s="36">
        <f t="shared" si="3"/>
        <v>-193497.00000000003</v>
      </c>
      <c r="M11" s="36">
        <f t="shared" si="4"/>
        <v>-3409.09</v>
      </c>
      <c r="N11" s="37">
        <f t="shared" si="1"/>
        <v>-10.584462671203687</v>
      </c>
      <c r="O11" s="37">
        <f t="shared" si="5"/>
        <v>-0.7045450000000001</v>
      </c>
      <c r="P11" s="78">
        <f t="shared" si="6"/>
        <v>0.8538982213517134</v>
      </c>
      <c r="Q11" s="37">
        <f t="shared" si="7"/>
        <v>0.4548372882425597</v>
      </c>
      <c r="R11" s="18"/>
    </row>
    <row r="12" spans="1:18" ht="18" customHeight="1">
      <c r="A12" s="125"/>
      <c r="B12" s="51" t="s">
        <v>13</v>
      </c>
      <c r="C12" s="80" t="s">
        <v>14</v>
      </c>
      <c r="D12" s="36">
        <v>27675.85</v>
      </c>
      <c r="E12" s="36">
        <v>1250550.2</v>
      </c>
      <c r="F12" s="105">
        <v>40000</v>
      </c>
      <c r="G12" s="36">
        <v>15000</v>
      </c>
      <c r="H12" s="36">
        <v>37578.03</v>
      </c>
      <c r="I12" s="36">
        <v>9486.47</v>
      </c>
      <c r="J12" s="36">
        <f t="shared" si="0"/>
        <v>9902.18</v>
      </c>
      <c r="K12" s="112">
        <f t="shared" si="2"/>
        <v>-2421.970000000001</v>
      </c>
      <c r="L12" s="36">
        <f t="shared" si="3"/>
        <v>-1212972.17</v>
      </c>
      <c r="M12" s="36">
        <f t="shared" si="4"/>
        <v>-5513.530000000001</v>
      </c>
      <c r="N12" s="37">
        <f t="shared" si="1"/>
        <v>1.357791359614971</v>
      </c>
      <c r="O12" s="37">
        <f t="shared" si="5"/>
        <v>0.6324313333333332</v>
      </c>
      <c r="P12" s="78">
        <f t="shared" si="6"/>
        <v>0.93945075</v>
      </c>
      <c r="Q12" s="37">
        <f t="shared" si="7"/>
        <v>0.0300491975452085</v>
      </c>
      <c r="R12" s="18"/>
    </row>
    <row r="13" spans="1:18" ht="18" customHeight="1">
      <c r="A13" s="125"/>
      <c r="B13" s="51" t="s">
        <v>13</v>
      </c>
      <c r="C13" s="80" t="s">
        <v>15</v>
      </c>
      <c r="D13" s="36">
        <v>17927</v>
      </c>
      <c r="E13" s="36">
        <v>2382735.3000000003</v>
      </c>
      <c r="F13" s="105">
        <v>522725</v>
      </c>
      <c r="G13" s="36">
        <v>515123</v>
      </c>
      <c r="H13" s="36">
        <v>2466.6800000000003</v>
      </c>
      <c r="I13" s="36">
        <v>8657.77</v>
      </c>
      <c r="J13" s="36">
        <f t="shared" si="0"/>
        <v>-15460.32</v>
      </c>
      <c r="K13" s="112">
        <f t="shared" si="2"/>
        <v>-520258.32</v>
      </c>
      <c r="L13" s="36">
        <f t="shared" si="3"/>
        <v>-2380268.62</v>
      </c>
      <c r="M13" s="36">
        <f t="shared" si="4"/>
        <v>-506465.23</v>
      </c>
      <c r="N13" s="37">
        <f t="shared" si="1"/>
        <v>0.13759580521001843</v>
      </c>
      <c r="O13" s="37">
        <f t="shared" si="5"/>
        <v>0.01680718973914968</v>
      </c>
      <c r="P13" s="78">
        <f t="shared" si="6"/>
        <v>0.0047188866038548</v>
      </c>
      <c r="Q13" s="37">
        <f t="shared" si="7"/>
        <v>0.0010352303925660563</v>
      </c>
      <c r="R13" s="18"/>
    </row>
    <row r="14" spans="1:18" ht="18" customHeight="1">
      <c r="A14" s="125"/>
      <c r="B14" s="51" t="s">
        <v>16</v>
      </c>
      <c r="C14" s="80" t="s">
        <v>17</v>
      </c>
      <c r="D14" s="36">
        <v>19369.92</v>
      </c>
      <c r="E14" s="36">
        <v>223881.6</v>
      </c>
      <c r="F14" s="105">
        <v>30070.4</v>
      </c>
      <c r="G14" s="36">
        <v>18052.9</v>
      </c>
      <c r="H14" s="36">
        <v>24224.269999999997</v>
      </c>
      <c r="I14" s="36">
        <v>10797.96</v>
      </c>
      <c r="J14" s="36">
        <f t="shared" si="0"/>
        <v>4854.3499999999985</v>
      </c>
      <c r="K14" s="112">
        <f t="shared" si="2"/>
        <v>-5846.130000000005</v>
      </c>
      <c r="L14" s="36">
        <f t="shared" si="3"/>
        <v>-199657.33000000002</v>
      </c>
      <c r="M14" s="36">
        <f t="shared" si="4"/>
        <v>-7254.940000000002</v>
      </c>
      <c r="N14" s="37">
        <f t="shared" si="1"/>
        <v>1.2506128058350265</v>
      </c>
      <c r="O14" s="37">
        <f t="shared" si="5"/>
        <v>0.5981288324867472</v>
      </c>
      <c r="P14" s="78">
        <f t="shared" si="6"/>
        <v>0.8055852266680854</v>
      </c>
      <c r="Q14" s="37">
        <f t="shared" si="7"/>
        <v>0.10820125459171274</v>
      </c>
      <c r="R14" s="18"/>
    </row>
    <row r="15" spans="1:18" ht="18" customHeight="1">
      <c r="A15" s="125"/>
      <c r="B15" s="51" t="s">
        <v>13</v>
      </c>
      <c r="C15" s="80" t="s">
        <v>18</v>
      </c>
      <c r="D15" s="36">
        <v>-2.04</v>
      </c>
      <c r="E15" s="36">
        <v>0</v>
      </c>
      <c r="F15" s="105"/>
      <c r="G15" s="36">
        <v>0</v>
      </c>
      <c r="H15" s="36">
        <v>0</v>
      </c>
      <c r="I15" s="36">
        <v>0</v>
      </c>
      <c r="J15" s="36">
        <f t="shared" si="0"/>
        <v>2.04</v>
      </c>
      <c r="K15" s="112">
        <f t="shared" si="2"/>
        <v>0</v>
      </c>
      <c r="L15" s="36">
        <f t="shared" si="3"/>
        <v>0</v>
      </c>
      <c r="M15" s="36">
        <f t="shared" si="4"/>
        <v>0</v>
      </c>
      <c r="N15" s="37">
        <f t="shared" si="1"/>
        <v>0</v>
      </c>
      <c r="O15" s="37">
        <f t="shared" si="5"/>
      </c>
      <c r="P15" s="78">
        <f t="shared" si="6"/>
      </c>
      <c r="Q15" s="37">
        <f t="shared" si="7"/>
      </c>
      <c r="R15" s="18"/>
    </row>
    <row r="16" spans="1:18" ht="18" customHeight="1">
      <c r="A16" s="126"/>
      <c r="B16" s="71"/>
      <c r="C16" s="83" t="s">
        <v>7</v>
      </c>
      <c r="D16" s="72">
        <f>SUM(D6:D15)</f>
        <v>928976.88</v>
      </c>
      <c r="E16" s="72">
        <f>SUM(E6:E15)</f>
        <v>21746752.099999998</v>
      </c>
      <c r="F16" s="72">
        <f>SUM(F6:F15)</f>
        <v>2751585.0999999996</v>
      </c>
      <c r="G16" s="72">
        <f>SUM(G6:G15)</f>
        <v>1661659.1</v>
      </c>
      <c r="H16" s="72">
        <f>SUM(H6:H15)</f>
        <v>1217469.16</v>
      </c>
      <c r="I16" s="72">
        <f>SUM(I6:I15)</f>
        <v>312553.92</v>
      </c>
      <c r="J16" s="72">
        <f t="shared" si="0"/>
        <v>288492.2799999999</v>
      </c>
      <c r="K16" s="112">
        <f t="shared" si="2"/>
        <v>-1534115.9399999997</v>
      </c>
      <c r="L16" s="72">
        <f t="shared" si="3"/>
        <v>-20529282.939999998</v>
      </c>
      <c r="M16" s="72">
        <f t="shared" si="4"/>
        <v>-1349105.1800000002</v>
      </c>
      <c r="N16" s="73">
        <f t="shared" si="1"/>
        <v>1.3105483959945268</v>
      </c>
      <c r="O16" s="73">
        <f t="shared" si="5"/>
        <v>0.18809749845801704</v>
      </c>
      <c r="P16" s="78">
        <f t="shared" si="6"/>
        <v>0.4424610236477876</v>
      </c>
      <c r="Q16" s="73">
        <f t="shared" si="7"/>
        <v>0.05598395357622162</v>
      </c>
      <c r="R16" s="18"/>
    </row>
    <row r="17" spans="1:18" ht="18" customHeight="1">
      <c r="A17" s="52" t="s">
        <v>70</v>
      </c>
      <c r="B17" s="51" t="s">
        <v>20</v>
      </c>
      <c r="C17" s="80" t="s">
        <v>21</v>
      </c>
      <c r="D17" s="36">
        <v>16</v>
      </c>
      <c r="E17" s="36">
        <v>88</v>
      </c>
      <c r="F17" s="105">
        <v>14.6</v>
      </c>
      <c r="G17" s="36">
        <v>7.3</v>
      </c>
      <c r="H17" s="36">
        <v>4</v>
      </c>
      <c r="I17" s="36">
        <v>4</v>
      </c>
      <c r="J17" s="36">
        <f t="shared" si="0"/>
        <v>-12</v>
      </c>
      <c r="K17" s="112">
        <f t="shared" si="2"/>
        <v>-10.6</v>
      </c>
      <c r="L17" s="36">
        <f t="shared" si="3"/>
        <v>-84</v>
      </c>
      <c r="M17" s="36">
        <f t="shared" si="4"/>
        <v>-3.3</v>
      </c>
      <c r="N17" s="37">
        <f t="shared" si="1"/>
        <v>0.25</v>
      </c>
      <c r="O17" s="37">
        <f t="shared" si="5"/>
        <v>0.547945205479452</v>
      </c>
      <c r="P17" s="78">
        <f t="shared" si="6"/>
        <v>0.273972602739726</v>
      </c>
      <c r="Q17" s="37">
        <f t="shared" si="7"/>
        <v>0.045454545454545456</v>
      </c>
      <c r="R17" s="18"/>
    </row>
    <row r="18" spans="1:18" ht="18.75" customHeight="1">
      <c r="A18" s="97" t="s">
        <v>19</v>
      </c>
      <c r="B18" s="98" t="s">
        <v>20</v>
      </c>
      <c r="C18" s="96" t="s">
        <v>84</v>
      </c>
      <c r="D18" s="36">
        <v>19.2</v>
      </c>
      <c r="E18" s="36">
        <v>328.3</v>
      </c>
      <c r="F18" s="105">
        <v>54.7</v>
      </c>
      <c r="G18" s="36">
        <v>27.3</v>
      </c>
      <c r="H18" s="36">
        <v>6.4</v>
      </c>
      <c r="I18" s="36">
        <v>5.6</v>
      </c>
      <c r="J18" s="36">
        <f t="shared" si="0"/>
        <v>-12.799999999999999</v>
      </c>
      <c r="K18" s="112">
        <f t="shared" si="2"/>
        <v>-48.300000000000004</v>
      </c>
      <c r="L18" s="36">
        <f t="shared" si="3"/>
        <v>-321.90000000000003</v>
      </c>
      <c r="M18" s="36">
        <f t="shared" si="4"/>
        <v>-21.700000000000003</v>
      </c>
      <c r="N18" s="37">
        <f t="shared" si="1"/>
        <v>0.33333333333333337</v>
      </c>
      <c r="O18" s="37">
        <f t="shared" si="5"/>
        <v>0.20512820512820512</v>
      </c>
      <c r="P18" s="78">
        <f t="shared" si="6"/>
        <v>0.1170018281535649</v>
      </c>
      <c r="Q18" s="37">
        <f t="shared" si="7"/>
        <v>0.019494364910143162</v>
      </c>
      <c r="R18" s="18"/>
    </row>
    <row r="19" spans="1:18" ht="35.25" customHeight="1">
      <c r="A19" s="53" t="s">
        <v>23</v>
      </c>
      <c r="B19" s="54" t="s">
        <v>72</v>
      </c>
      <c r="C19" s="80" t="s">
        <v>24</v>
      </c>
      <c r="D19" s="36">
        <v>25.6</v>
      </c>
      <c r="E19" s="36">
        <v>0</v>
      </c>
      <c r="F19" s="105">
        <v>0</v>
      </c>
      <c r="G19" s="36">
        <v>0</v>
      </c>
      <c r="H19" s="36">
        <v>0</v>
      </c>
      <c r="I19" s="36">
        <v>-1.6</v>
      </c>
      <c r="J19" s="36">
        <f t="shared" si="0"/>
        <v>-25.6</v>
      </c>
      <c r="K19" s="112">
        <f t="shared" si="2"/>
        <v>0</v>
      </c>
      <c r="L19" s="36">
        <f t="shared" si="3"/>
        <v>0</v>
      </c>
      <c r="M19" s="36">
        <f t="shared" si="4"/>
        <v>-1.6</v>
      </c>
      <c r="N19" s="37">
        <f t="shared" si="1"/>
        <v>0</v>
      </c>
      <c r="O19" s="37">
        <f t="shared" si="5"/>
      </c>
      <c r="P19" s="78">
        <f t="shared" si="6"/>
      </c>
      <c r="Q19" s="37">
        <f t="shared" si="7"/>
      </c>
      <c r="R19" s="18"/>
    </row>
    <row r="20" spans="1:18" ht="18" customHeight="1">
      <c r="A20" s="52" t="s">
        <v>22</v>
      </c>
      <c r="B20" s="51" t="s">
        <v>9</v>
      </c>
      <c r="C20" s="80" t="s">
        <v>74</v>
      </c>
      <c r="D20" s="36">
        <v>5</v>
      </c>
      <c r="E20" s="36">
        <v>55</v>
      </c>
      <c r="F20" s="105">
        <v>5</v>
      </c>
      <c r="G20" s="36">
        <v>5</v>
      </c>
      <c r="H20" s="36">
        <v>10</v>
      </c>
      <c r="I20" s="36">
        <v>5</v>
      </c>
      <c r="J20" s="36">
        <f t="shared" si="0"/>
        <v>5</v>
      </c>
      <c r="K20" s="112">
        <f t="shared" si="2"/>
        <v>5</v>
      </c>
      <c r="L20" s="36">
        <f t="shared" si="3"/>
        <v>-45</v>
      </c>
      <c r="M20" s="36">
        <f t="shared" si="4"/>
        <v>0</v>
      </c>
      <c r="N20" s="37">
        <f t="shared" si="1"/>
        <v>2</v>
      </c>
      <c r="O20" s="37">
        <f t="shared" si="5"/>
        <v>1</v>
      </c>
      <c r="P20" s="78">
        <f t="shared" si="6"/>
        <v>2</v>
      </c>
      <c r="Q20" s="37">
        <f t="shared" si="7"/>
        <v>0.18181818181818182</v>
      </c>
      <c r="R20" s="18"/>
    </row>
    <row r="21" spans="1:18" s="50" customFormat="1" ht="28.5" customHeight="1">
      <c r="A21" s="131"/>
      <c r="B21" s="131"/>
      <c r="C21" s="47" t="s">
        <v>25</v>
      </c>
      <c r="D21" s="46">
        <f>D25+D28+D36+D48+D50+D55+D58+D61+D70</f>
        <v>886603.0900000002</v>
      </c>
      <c r="E21" s="46">
        <f>E25+E28+E36+E48+E50+E55+E58+E61+E70</f>
        <v>6984364.5</v>
      </c>
      <c r="F21" s="46">
        <f>F25+F28+F36+F48+F50+F55+F58+F61+F70</f>
        <v>963301.4</v>
      </c>
      <c r="G21" s="46">
        <f>G25+G28+G36+G48+G50+G55+G58+G61+G70</f>
        <v>530167.8</v>
      </c>
      <c r="H21" s="46">
        <f>H25+H28+H36+H48+H50+H55+H58+H61+H70</f>
        <v>1019395.8300000001</v>
      </c>
      <c r="I21" s="46">
        <f>I25+I28+I36+I48+I50+I55+I58+I61+I70</f>
        <v>524680.0200000001</v>
      </c>
      <c r="J21" s="46">
        <f t="shared" si="0"/>
        <v>132792.73999999987</v>
      </c>
      <c r="K21" s="104">
        <f t="shared" si="2"/>
        <v>56094.43000000005</v>
      </c>
      <c r="L21" s="46">
        <f t="shared" si="3"/>
        <v>-5964968.67</v>
      </c>
      <c r="M21" s="46">
        <f t="shared" si="4"/>
        <v>-5487.7799999999115</v>
      </c>
      <c r="N21" s="57">
        <f t="shared" si="1"/>
        <v>1.1497769875807673</v>
      </c>
      <c r="O21" s="57">
        <f t="shared" si="5"/>
        <v>0.9896489752866924</v>
      </c>
      <c r="P21" s="57">
        <f t="shared" si="6"/>
        <v>1.05823144241252</v>
      </c>
      <c r="Q21" s="57">
        <f t="shared" si="7"/>
        <v>0.1459539847898832</v>
      </c>
      <c r="R21" s="58"/>
    </row>
    <row r="22" spans="1:17" ht="18" customHeight="1">
      <c r="A22" s="124" t="s">
        <v>23</v>
      </c>
      <c r="B22" s="127" t="s">
        <v>72</v>
      </c>
      <c r="C22" s="21" t="s">
        <v>86</v>
      </c>
      <c r="D22" s="33">
        <v>18153.19</v>
      </c>
      <c r="E22" s="2">
        <v>209447.5</v>
      </c>
      <c r="F22" s="107">
        <v>31798.4</v>
      </c>
      <c r="G22" s="2">
        <v>16899.2</v>
      </c>
      <c r="H22" s="33">
        <v>25140.06</v>
      </c>
      <c r="I22" s="33">
        <v>11399.36</v>
      </c>
      <c r="J22" s="3">
        <f t="shared" si="0"/>
        <v>6986.870000000003</v>
      </c>
      <c r="K22" s="112">
        <f t="shared" si="2"/>
        <v>-6658.34</v>
      </c>
      <c r="L22" s="3">
        <f t="shared" si="3"/>
        <v>-184307.44</v>
      </c>
      <c r="M22" s="3">
        <f t="shared" si="4"/>
        <v>-5499.84</v>
      </c>
      <c r="N22" s="15">
        <f t="shared" si="1"/>
        <v>1.38488386889577</v>
      </c>
      <c r="O22" s="15">
        <f t="shared" si="5"/>
        <v>0.6745502745692104</v>
      </c>
      <c r="P22" s="78">
        <f t="shared" si="6"/>
        <v>0.7906077035322532</v>
      </c>
      <c r="Q22" s="15">
        <f t="shared" si="7"/>
        <v>0.12003036560474582</v>
      </c>
    </row>
    <row r="23" spans="1:17" ht="18" customHeight="1">
      <c r="A23" s="125"/>
      <c r="B23" s="128"/>
      <c r="C23" s="21" t="s">
        <v>26</v>
      </c>
      <c r="D23" s="33"/>
      <c r="E23" s="2">
        <v>4501.5</v>
      </c>
      <c r="F23" s="107">
        <v>0</v>
      </c>
      <c r="G23" s="2">
        <v>0</v>
      </c>
      <c r="H23" s="33">
        <v>1715</v>
      </c>
      <c r="I23" s="33">
        <v>0</v>
      </c>
      <c r="J23" s="3">
        <f t="shared" si="0"/>
        <v>1715</v>
      </c>
      <c r="K23" s="112">
        <f t="shared" si="2"/>
        <v>1715</v>
      </c>
      <c r="L23" s="3">
        <f t="shared" si="3"/>
        <v>-2786.5</v>
      </c>
      <c r="M23" s="3">
        <f t="shared" si="4"/>
        <v>0</v>
      </c>
      <c r="N23" s="15">
        <f t="shared" si="1"/>
      </c>
      <c r="O23" s="15">
        <f t="shared" si="5"/>
      </c>
      <c r="P23" s="78">
        <f t="shared" si="6"/>
      </c>
      <c r="Q23" s="15">
        <f t="shared" si="7"/>
        <v>0.38098411640564256</v>
      </c>
    </row>
    <row r="24" spans="1:17" ht="18" customHeight="1">
      <c r="A24" s="125"/>
      <c r="B24" s="128"/>
      <c r="C24" s="21" t="s">
        <v>48</v>
      </c>
      <c r="D24" s="33">
        <v>12269.98</v>
      </c>
      <c r="E24" s="2">
        <v>126183.1</v>
      </c>
      <c r="F24" s="107">
        <v>20464.6</v>
      </c>
      <c r="G24" s="2">
        <v>10294.6</v>
      </c>
      <c r="H24" s="33">
        <v>13246.03</v>
      </c>
      <c r="I24" s="33">
        <v>6658.3</v>
      </c>
      <c r="J24" s="3">
        <f t="shared" si="0"/>
        <v>976.0500000000011</v>
      </c>
      <c r="K24" s="112">
        <f t="shared" si="2"/>
        <v>-7218.569999999998</v>
      </c>
      <c r="L24" s="3">
        <f t="shared" si="3"/>
        <v>-112937.07</v>
      </c>
      <c r="M24" s="3">
        <f t="shared" si="4"/>
        <v>-3636.3</v>
      </c>
      <c r="N24" s="15">
        <f t="shared" si="1"/>
        <v>1.0795478069238909</v>
      </c>
      <c r="O24" s="15">
        <f t="shared" si="5"/>
        <v>0.6467759796398111</v>
      </c>
      <c r="P24" s="78">
        <f t="shared" si="6"/>
        <v>0.6472655219256669</v>
      </c>
      <c r="Q24" s="15">
        <f t="shared" si="7"/>
        <v>0.1049746756895337</v>
      </c>
    </row>
    <row r="25" spans="1:17" ht="18" customHeight="1">
      <c r="A25" s="126"/>
      <c r="B25" s="129"/>
      <c r="C25" s="83" t="s">
        <v>7</v>
      </c>
      <c r="D25" s="74">
        <f>SUM(D22:D24)</f>
        <v>30423.17</v>
      </c>
      <c r="E25" s="74">
        <f>SUM(E22:E24)</f>
        <v>340132.1</v>
      </c>
      <c r="F25" s="74">
        <f>SUM(F22:F24)</f>
        <v>52263</v>
      </c>
      <c r="G25" s="74">
        <f>SUM(G22:G24)</f>
        <v>27193.800000000003</v>
      </c>
      <c r="H25" s="74">
        <f>SUM(H22:H24)</f>
        <v>40101.090000000004</v>
      </c>
      <c r="I25" s="74">
        <f>SUM(I22:I24)</f>
        <v>18057.66</v>
      </c>
      <c r="J25" s="74">
        <f t="shared" si="0"/>
        <v>9677.920000000006</v>
      </c>
      <c r="K25" s="112">
        <f t="shared" si="2"/>
        <v>-12161.909999999996</v>
      </c>
      <c r="L25" s="74">
        <f t="shared" si="3"/>
        <v>-300031.00999999995</v>
      </c>
      <c r="M25" s="74">
        <f t="shared" si="4"/>
        <v>-9136.140000000003</v>
      </c>
      <c r="N25" s="26">
        <f t="shared" si="1"/>
        <v>1.3181101772103303</v>
      </c>
      <c r="O25" s="26">
        <f t="shared" si="5"/>
        <v>0.664035919952342</v>
      </c>
      <c r="P25" s="78">
        <f t="shared" si="6"/>
        <v>0.767294070374835</v>
      </c>
      <c r="Q25" s="26">
        <f t="shared" si="7"/>
        <v>0.11789857528883632</v>
      </c>
    </row>
    <row r="26" spans="1:17" ht="23.25" customHeight="1">
      <c r="A26" s="119">
        <v>951</v>
      </c>
      <c r="B26" s="119" t="s">
        <v>9</v>
      </c>
      <c r="C26" s="99" t="s">
        <v>27</v>
      </c>
      <c r="D26" s="33">
        <v>6804.84</v>
      </c>
      <c r="E26" s="2">
        <v>75335.1</v>
      </c>
      <c r="F26" s="107">
        <v>8391</v>
      </c>
      <c r="G26" s="2">
        <v>6278</v>
      </c>
      <c r="H26" s="33">
        <v>13835.970000000001</v>
      </c>
      <c r="I26" s="33">
        <v>5629.2699999999995</v>
      </c>
      <c r="J26" s="2">
        <f t="shared" si="0"/>
        <v>7031.130000000001</v>
      </c>
      <c r="K26" s="112">
        <f t="shared" si="2"/>
        <v>5444.970000000001</v>
      </c>
      <c r="L26" s="2">
        <f t="shared" si="3"/>
        <v>-61499.130000000005</v>
      </c>
      <c r="M26" s="2">
        <f t="shared" si="4"/>
        <v>-648.7300000000005</v>
      </c>
      <c r="N26" s="15">
        <f t="shared" si="1"/>
        <v>2.03325427195937</v>
      </c>
      <c r="O26" s="15">
        <f t="shared" si="5"/>
        <v>0.8966661357120101</v>
      </c>
      <c r="P26" s="78">
        <f t="shared" si="6"/>
        <v>1.6489059706828746</v>
      </c>
      <c r="Q26" s="15">
        <f t="shared" si="7"/>
        <v>0.1836590115364551</v>
      </c>
    </row>
    <row r="27" spans="1:17" ht="22.5" customHeight="1">
      <c r="A27" s="119"/>
      <c r="B27" s="119"/>
      <c r="C27" s="100" t="s">
        <v>28</v>
      </c>
      <c r="D27" s="33">
        <v>-274.66</v>
      </c>
      <c r="E27" s="2">
        <v>13384.8</v>
      </c>
      <c r="F27" s="107">
        <v>377.3</v>
      </c>
      <c r="G27" s="2">
        <v>0</v>
      </c>
      <c r="H27" s="33">
        <v>1258.69</v>
      </c>
      <c r="I27" s="33">
        <v>376.58</v>
      </c>
      <c r="J27" s="2">
        <f t="shared" si="0"/>
        <v>1533.3500000000001</v>
      </c>
      <c r="K27" s="112">
        <f t="shared" si="2"/>
        <v>881.3900000000001</v>
      </c>
      <c r="L27" s="2">
        <f t="shared" si="3"/>
        <v>-12126.109999999999</v>
      </c>
      <c r="M27" s="2">
        <f t="shared" si="4"/>
        <v>376.58</v>
      </c>
      <c r="N27" s="15">
        <f t="shared" si="1"/>
        <v>-4.5827204543799605</v>
      </c>
      <c r="O27" s="15">
        <f t="shared" si="5"/>
      </c>
      <c r="P27" s="78">
        <f t="shared" si="6"/>
        <v>3.3360455870659953</v>
      </c>
      <c r="Q27" s="15">
        <f t="shared" si="7"/>
        <v>0.09403876038491424</v>
      </c>
    </row>
    <row r="28" spans="1:17" ht="15.75">
      <c r="A28" s="119"/>
      <c r="B28" s="119"/>
      <c r="C28" s="85" t="s">
        <v>7</v>
      </c>
      <c r="D28" s="74">
        <f>D26+D27</f>
        <v>6530.18</v>
      </c>
      <c r="E28" s="74">
        <f>E26+E27</f>
        <v>88719.90000000001</v>
      </c>
      <c r="F28" s="74">
        <f>F26+F27</f>
        <v>8768.3</v>
      </c>
      <c r="G28" s="74">
        <f>G26+G27</f>
        <v>6278</v>
      </c>
      <c r="H28" s="74">
        <f>H26+H27</f>
        <v>15094.660000000002</v>
      </c>
      <c r="I28" s="74">
        <f>I26+I27</f>
        <v>6005.849999999999</v>
      </c>
      <c r="J28" s="74">
        <f t="shared" si="0"/>
        <v>8564.480000000001</v>
      </c>
      <c r="K28" s="112">
        <f t="shared" si="2"/>
        <v>6326.360000000002</v>
      </c>
      <c r="L28" s="74">
        <f t="shared" si="3"/>
        <v>-73625.24</v>
      </c>
      <c r="M28" s="74">
        <f t="shared" si="4"/>
        <v>-272.15000000000055</v>
      </c>
      <c r="N28" s="26">
        <f t="shared" si="1"/>
        <v>2.31152280641575</v>
      </c>
      <c r="O28" s="26">
        <f t="shared" si="5"/>
        <v>0.956650207072316</v>
      </c>
      <c r="P28" s="78">
        <f t="shared" si="6"/>
        <v>1.7215035981889308</v>
      </c>
      <c r="Q28" s="26">
        <f t="shared" si="7"/>
        <v>0.1701383793263969</v>
      </c>
    </row>
    <row r="29" spans="1:17" ht="18.75" customHeight="1">
      <c r="A29" s="132" t="s">
        <v>29</v>
      </c>
      <c r="B29" s="119" t="s">
        <v>30</v>
      </c>
      <c r="C29" s="21" t="s">
        <v>31</v>
      </c>
      <c r="D29" s="33"/>
      <c r="E29" s="2">
        <v>2640</v>
      </c>
      <c r="F29" s="107"/>
      <c r="G29" s="2">
        <v>0</v>
      </c>
      <c r="H29" s="33">
        <v>0</v>
      </c>
      <c r="I29" s="33">
        <v>0</v>
      </c>
      <c r="J29" s="2">
        <f t="shared" si="0"/>
        <v>0</v>
      </c>
      <c r="K29" s="112">
        <f t="shared" si="2"/>
        <v>0</v>
      </c>
      <c r="L29" s="2">
        <f t="shared" si="3"/>
        <v>-2640</v>
      </c>
      <c r="M29" s="2">
        <f t="shared" si="4"/>
        <v>0</v>
      </c>
      <c r="N29" s="15">
        <f t="shared" si="1"/>
      </c>
      <c r="O29" s="15">
        <f t="shared" si="5"/>
      </c>
      <c r="P29" s="78">
        <f t="shared" si="6"/>
      </c>
      <c r="Q29" s="15">
        <f t="shared" si="7"/>
        <v>0</v>
      </c>
    </row>
    <row r="30" spans="1:17" ht="17.25" customHeight="1">
      <c r="A30" s="132"/>
      <c r="B30" s="119"/>
      <c r="C30" s="86" t="s">
        <v>32</v>
      </c>
      <c r="D30" s="33">
        <v>10817.81</v>
      </c>
      <c r="E30" s="2">
        <v>95135.2</v>
      </c>
      <c r="F30" s="107">
        <v>14500</v>
      </c>
      <c r="G30" s="2">
        <v>8500</v>
      </c>
      <c r="H30" s="33">
        <v>8185.830000000001</v>
      </c>
      <c r="I30" s="33">
        <v>2903.66</v>
      </c>
      <c r="J30" s="2">
        <f t="shared" si="0"/>
        <v>-2631.9799999999987</v>
      </c>
      <c r="K30" s="112">
        <f t="shared" si="2"/>
        <v>-6314.169999999999</v>
      </c>
      <c r="L30" s="2">
        <f t="shared" si="3"/>
        <v>-86949.37</v>
      </c>
      <c r="M30" s="2">
        <f t="shared" si="4"/>
        <v>-5596.34</v>
      </c>
      <c r="N30" s="15">
        <f t="shared" si="1"/>
        <v>0.7566993689110828</v>
      </c>
      <c r="O30" s="15">
        <f t="shared" si="5"/>
        <v>0.3416070588235294</v>
      </c>
      <c r="P30" s="78">
        <f t="shared" si="6"/>
        <v>0.56454</v>
      </c>
      <c r="Q30" s="15">
        <f t="shared" si="7"/>
        <v>0.08604417712897015</v>
      </c>
    </row>
    <row r="31" spans="1:17" ht="15.75">
      <c r="A31" s="132"/>
      <c r="B31" s="119"/>
      <c r="C31" s="84" t="s">
        <v>33</v>
      </c>
      <c r="D31" s="33">
        <v>1540.92</v>
      </c>
      <c r="E31" s="2">
        <v>557</v>
      </c>
      <c r="F31" s="107">
        <v>92.8</v>
      </c>
      <c r="G31" s="2">
        <v>46.4</v>
      </c>
      <c r="H31" s="33">
        <v>271.29</v>
      </c>
      <c r="I31" s="33">
        <v>29.17</v>
      </c>
      <c r="J31" s="2">
        <f t="shared" si="0"/>
        <v>-1269.63</v>
      </c>
      <c r="K31" s="112">
        <f t="shared" si="2"/>
        <v>178.49</v>
      </c>
      <c r="L31" s="2">
        <f t="shared" si="3"/>
        <v>-285.71</v>
      </c>
      <c r="M31" s="2">
        <f t="shared" si="4"/>
        <v>-17.229999999999997</v>
      </c>
      <c r="N31" s="15">
        <f t="shared" si="1"/>
        <v>0.1760571606572697</v>
      </c>
      <c r="O31" s="15">
        <f t="shared" si="5"/>
        <v>0.6286637931034483</v>
      </c>
      <c r="P31" s="78">
        <f t="shared" si="6"/>
        <v>2.9233836206896555</v>
      </c>
      <c r="Q31" s="15">
        <f t="shared" si="7"/>
        <v>0.48705565529622985</v>
      </c>
    </row>
    <row r="32" spans="1:17" ht="27" customHeight="1">
      <c r="A32" s="132"/>
      <c r="B32" s="119"/>
      <c r="C32" s="99" t="s">
        <v>34</v>
      </c>
      <c r="D32" s="2">
        <f>D33+D35+D34</f>
        <v>96501.58</v>
      </c>
      <c r="E32" s="2">
        <f>E33+E35+E34</f>
        <v>95061.3</v>
      </c>
      <c r="F32" s="2">
        <f>F33+F35+F34</f>
        <v>7478.4</v>
      </c>
      <c r="G32" s="2">
        <f>G33+G35+G34</f>
        <v>5449.3</v>
      </c>
      <c r="H32" s="2">
        <f>H33+H35+H34</f>
        <v>210210.25</v>
      </c>
      <c r="I32" s="2">
        <f>I33+I35+I34</f>
        <v>172370.7</v>
      </c>
      <c r="J32" s="3">
        <f t="shared" si="0"/>
        <v>113708.67</v>
      </c>
      <c r="K32" s="112">
        <f t="shared" si="2"/>
        <v>202731.85</v>
      </c>
      <c r="L32" s="3">
        <f t="shared" si="3"/>
        <v>115148.95</v>
      </c>
      <c r="M32" s="3">
        <f t="shared" si="4"/>
        <v>166921.40000000002</v>
      </c>
      <c r="N32" s="15">
        <f t="shared" si="1"/>
        <v>2.178308894009818</v>
      </c>
      <c r="O32" s="15">
        <f t="shared" si="5"/>
        <v>31.631714165122126</v>
      </c>
      <c r="P32" s="78">
        <f t="shared" si="6"/>
        <v>28.108987216516905</v>
      </c>
      <c r="Q32" s="15">
        <f t="shared" si="7"/>
        <v>2.2113125951359804</v>
      </c>
    </row>
    <row r="33" spans="1:17" ht="23.25" customHeight="1">
      <c r="A33" s="132"/>
      <c r="B33" s="119"/>
      <c r="C33" s="113" t="s">
        <v>35</v>
      </c>
      <c r="D33" s="33">
        <v>91339.07</v>
      </c>
      <c r="E33" s="4">
        <f>57826.6</f>
        <v>57826.6</v>
      </c>
      <c r="F33" s="108">
        <v>3260.4</v>
      </c>
      <c r="G33" s="4">
        <v>3160.6</v>
      </c>
      <c r="H33" s="33">
        <v>207674.48</v>
      </c>
      <c r="I33" s="33">
        <v>171375.88</v>
      </c>
      <c r="J33" s="4">
        <f t="shared" si="0"/>
        <v>116335.41</v>
      </c>
      <c r="K33" s="112">
        <f t="shared" si="2"/>
        <v>204414.08000000002</v>
      </c>
      <c r="L33" s="4">
        <f t="shared" si="3"/>
        <v>149847.88</v>
      </c>
      <c r="M33" s="4">
        <f t="shared" si="4"/>
        <v>168215.28</v>
      </c>
      <c r="N33" s="15">
        <f t="shared" si="1"/>
        <v>2.2736653657629753</v>
      </c>
      <c r="O33" s="15">
        <f t="shared" si="5"/>
        <v>54.2225779915206</v>
      </c>
      <c r="P33" s="78">
        <f t="shared" si="6"/>
        <v>63.69601275917066</v>
      </c>
      <c r="Q33" s="15">
        <f t="shared" si="7"/>
        <v>3.5913313250303496</v>
      </c>
    </row>
    <row r="34" spans="1:17" ht="21" customHeight="1">
      <c r="A34" s="132"/>
      <c r="B34" s="119"/>
      <c r="C34" s="113" t="s">
        <v>36</v>
      </c>
      <c r="D34" s="33">
        <v>560</v>
      </c>
      <c r="E34" s="4">
        <v>1403.8</v>
      </c>
      <c r="F34" s="108">
        <v>632.1</v>
      </c>
      <c r="G34" s="4">
        <v>632.1</v>
      </c>
      <c r="H34" s="33">
        <v>0</v>
      </c>
      <c r="I34" s="33">
        <v>0</v>
      </c>
      <c r="J34" s="4">
        <f t="shared" si="0"/>
        <v>-560</v>
      </c>
      <c r="K34" s="112">
        <f t="shared" si="2"/>
        <v>-632.1</v>
      </c>
      <c r="L34" s="4">
        <f t="shared" si="3"/>
        <v>-1403.8</v>
      </c>
      <c r="M34" s="4">
        <f t="shared" si="4"/>
        <v>-632.1</v>
      </c>
      <c r="N34" s="15">
        <f t="shared" si="1"/>
        <v>0</v>
      </c>
      <c r="O34" s="15">
        <f t="shared" si="5"/>
        <v>0</v>
      </c>
      <c r="P34" s="78">
        <f t="shared" si="6"/>
        <v>0</v>
      </c>
      <c r="Q34" s="15">
        <f t="shared" si="7"/>
        <v>0</v>
      </c>
    </row>
    <row r="35" spans="1:17" ht="25.5" customHeight="1">
      <c r="A35" s="132"/>
      <c r="B35" s="119"/>
      <c r="C35" s="113" t="s">
        <v>37</v>
      </c>
      <c r="D35" s="33">
        <v>4602.51</v>
      </c>
      <c r="E35" s="4">
        <v>35830.9</v>
      </c>
      <c r="F35" s="108">
        <v>3585.8999999999996</v>
      </c>
      <c r="G35" s="4">
        <v>1656.6</v>
      </c>
      <c r="H35" s="33">
        <v>2535.77</v>
      </c>
      <c r="I35" s="33">
        <v>994.8199999999999</v>
      </c>
      <c r="J35" s="4">
        <f t="shared" si="0"/>
        <v>-2066.7400000000002</v>
      </c>
      <c r="K35" s="112">
        <f t="shared" si="2"/>
        <v>-1050.1299999999997</v>
      </c>
      <c r="L35" s="4">
        <f t="shared" si="3"/>
        <v>-33295.130000000005</v>
      </c>
      <c r="M35" s="4">
        <f t="shared" si="4"/>
        <v>-661.78</v>
      </c>
      <c r="N35" s="15">
        <f t="shared" si="1"/>
        <v>0.5509537187317355</v>
      </c>
      <c r="O35" s="15">
        <f t="shared" si="5"/>
        <v>0.6005191355788966</v>
      </c>
      <c r="P35" s="78">
        <f t="shared" si="6"/>
        <v>0.7071502272790653</v>
      </c>
      <c r="Q35" s="15">
        <f t="shared" si="7"/>
        <v>0.07077048022795966</v>
      </c>
    </row>
    <row r="36" spans="1:17" ht="15.75">
      <c r="A36" s="132"/>
      <c r="B36" s="132"/>
      <c r="C36" s="85" t="s">
        <v>7</v>
      </c>
      <c r="D36" s="74">
        <f>SUM(D29:D32)</f>
        <v>108860.31</v>
      </c>
      <c r="E36" s="74">
        <f>SUM(E29:E32)</f>
        <v>193393.5</v>
      </c>
      <c r="F36" s="74">
        <f>SUM(F29:F32)</f>
        <v>22071.199999999997</v>
      </c>
      <c r="G36" s="74">
        <f>SUM(G29:G32)</f>
        <v>13995.7</v>
      </c>
      <c r="H36" s="74">
        <f>SUM(H29:H32)</f>
        <v>218667.37</v>
      </c>
      <c r="I36" s="74">
        <f>SUM(I29:I32)</f>
        <v>175303.53</v>
      </c>
      <c r="J36" s="74">
        <f t="shared" si="0"/>
        <v>109807.06</v>
      </c>
      <c r="K36" s="112">
        <f t="shared" si="2"/>
        <v>196596.16999999998</v>
      </c>
      <c r="L36" s="74">
        <f t="shared" si="3"/>
        <v>25273.869999999995</v>
      </c>
      <c r="M36" s="74">
        <f t="shared" si="4"/>
        <v>161307.83</v>
      </c>
      <c r="N36" s="26">
        <f t="shared" si="1"/>
        <v>2.0086969254450957</v>
      </c>
      <c r="O36" s="26">
        <f t="shared" si="5"/>
        <v>12.525527840693927</v>
      </c>
      <c r="P36" s="78">
        <f t="shared" si="6"/>
        <v>9.907362082714126</v>
      </c>
      <c r="Q36" s="26">
        <f t="shared" si="7"/>
        <v>1.1306862433328937</v>
      </c>
    </row>
    <row r="37" spans="1:17" ht="31.5">
      <c r="A37" s="132" t="s">
        <v>71</v>
      </c>
      <c r="B37" s="119" t="s">
        <v>13</v>
      </c>
      <c r="C37" s="84" t="s">
        <v>39</v>
      </c>
      <c r="D37" s="33">
        <v>61378.68</v>
      </c>
      <c r="E37" s="2">
        <v>280952</v>
      </c>
      <c r="F37" s="107">
        <v>53000</v>
      </c>
      <c r="G37" s="2">
        <v>43800</v>
      </c>
      <c r="H37" s="33">
        <v>67309.84999999999</v>
      </c>
      <c r="I37" s="33">
        <v>52151.350000000006</v>
      </c>
      <c r="J37" s="3">
        <f aca="true" t="shared" si="8" ref="J37:J82">H37-D37</f>
        <v>5931.169999999991</v>
      </c>
      <c r="K37" s="112">
        <f t="shared" si="2"/>
        <v>14309.849999999991</v>
      </c>
      <c r="L37" s="3">
        <f aca="true" t="shared" si="9" ref="L37:L68">H37-E37</f>
        <v>-213642.15000000002</v>
      </c>
      <c r="M37" s="3">
        <f aca="true" t="shared" si="10" ref="M37:M68">I37-G37</f>
        <v>8351.350000000006</v>
      </c>
      <c r="N37" s="15">
        <f aca="true" t="shared" si="11" ref="N37:N68">_xlfn.IFERROR(H37/D37,"")</f>
        <v>1.0966324137306307</v>
      </c>
      <c r="O37" s="15">
        <f aca="true" t="shared" si="12" ref="O37:O68">_xlfn.IFERROR(I37/G37,"")</f>
        <v>1.190670091324201</v>
      </c>
      <c r="P37" s="78">
        <f t="shared" si="6"/>
        <v>1.2699971698113206</v>
      </c>
      <c r="Q37" s="15">
        <f t="shared" si="7"/>
        <v>0.2395777570545858</v>
      </c>
    </row>
    <row r="38" spans="1:17" ht="18.75" customHeight="1">
      <c r="A38" s="132"/>
      <c r="B38" s="119"/>
      <c r="C38" s="84" t="s">
        <v>40</v>
      </c>
      <c r="D38" s="33">
        <v>24226.84</v>
      </c>
      <c r="E38" s="2">
        <v>234039.3</v>
      </c>
      <c r="F38" s="107">
        <v>21100</v>
      </c>
      <c r="G38" s="2">
        <v>21100</v>
      </c>
      <c r="H38" s="33">
        <v>16152.89</v>
      </c>
      <c r="I38" s="33">
        <v>18153.58</v>
      </c>
      <c r="J38" s="3">
        <f t="shared" si="8"/>
        <v>-8073.950000000001</v>
      </c>
      <c r="K38" s="112">
        <f t="shared" si="2"/>
        <v>-4947.110000000001</v>
      </c>
      <c r="L38" s="3">
        <f t="shared" si="9"/>
        <v>-217886.40999999997</v>
      </c>
      <c r="M38" s="3">
        <f t="shared" si="10"/>
        <v>-2946.4199999999983</v>
      </c>
      <c r="N38" s="15">
        <f t="shared" si="11"/>
        <v>0.666735323302585</v>
      </c>
      <c r="O38" s="15">
        <f t="shared" si="12"/>
        <v>0.8603592417061612</v>
      </c>
      <c r="P38" s="78">
        <f t="shared" si="6"/>
        <v>0.7655398104265403</v>
      </c>
      <c r="Q38" s="15">
        <f t="shared" si="7"/>
        <v>0.06901785298452012</v>
      </c>
    </row>
    <row r="39" spans="1:17" ht="31.5">
      <c r="A39" s="132"/>
      <c r="B39" s="119"/>
      <c r="C39" s="21" t="s">
        <v>41</v>
      </c>
      <c r="D39" s="33">
        <v>6431.86</v>
      </c>
      <c r="E39" s="2">
        <v>42797.9</v>
      </c>
      <c r="F39" s="107">
        <v>5980</v>
      </c>
      <c r="G39" s="2">
        <v>5650</v>
      </c>
      <c r="H39" s="33">
        <v>8462.65</v>
      </c>
      <c r="I39" s="33">
        <v>7552.56</v>
      </c>
      <c r="J39" s="2">
        <f t="shared" si="8"/>
        <v>2030.79</v>
      </c>
      <c r="K39" s="112">
        <f t="shared" si="2"/>
        <v>2482.6499999999996</v>
      </c>
      <c r="L39" s="2">
        <f t="shared" si="9"/>
        <v>-34335.25</v>
      </c>
      <c r="M39" s="2">
        <f t="shared" si="10"/>
        <v>1902.5600000000004</v>
      </c>
      <c r="N39" s="15">
        <f t="shared" si="11"/>
        <v>1.315739148551119</v>
      </c>
      <c r="O39" s="15">
        <f t="shared" si="12"/>
        <v>1.3367362831858407</v>
      </c>
      <c r="P39" s="78">
        <f t="shared" si="6"/>
        <v>1.4151588628762541</v>
      </c>
      <c r="Q39" s="15">
        <f t="shared" si="7"/>
        <v>0.19773516924895845</v>
      </c>
    </row>
    <row r="40" spans="1:17" ht="18.75" customHeight="1">
      <c r="A40" s="135"/>
      <c r="B40" s="139"/>
      <c r="C40" s="87" t="s">
        <v>75</v>
      </c>
      <c r="D40" s="33">
        <v>1364.0500000000002</v>
      </c>
      <c r="E40" s="2">
        <v>3022.8</v>
      </c>
      <c r="F40" s="107"/>
      <c r="G40" s="2">
        <v>0</v>
      </c>
      <c r="H40" s="33">
        <v>1989.85</v>
      </c>
      <c r="I40" s="33">
        <v>1697.73</v>
      </c>
      <c r="J40" s="2">
        <f t="shared" si="8"/>
        <v>625.7999999999997</v>
      </c>
      <c r="K40" s="112">
        <f t="shared" si="2"/>
        <v>1989.85</v>
      </c>
      <c r="L40" s="2">
        <f t="shared" si="9"/>
        <v>-1032.9500000000003</v>
      </c>
      <c r="M40" s="2">
        <f t="shared" si="10"/>
        <v>1697.73</v>
      </c>
      <c r="N40" s="15">
        <f t="shared" si="11"/>
        <v>1.4587808364796009</v>
      </c>
      <c r="O40" s="15">
        <f t="shared" si="12"/>
      </c>
      <c r="P40" s="78">
        <f t="shared" si="6"/>
      </c>
      <c r="Q40" s="15">
        <f t="shared" si="7"/>
        <v>0.6582804022760353</v>
      </c>
    </row>
    <row r="41" spans="1:17" ht="18" customHeight="1">
      <c r="A41" s="136"/>
      <c r="B41" s="140"/>
      <c r="C41" s="88" t="s">
        <v>79</v>
      </c>
      <c r="D41" s="33">
        <v>10.63</v>
      </c>
      <c r="E41" s="2">
        <v>0</v>
      </c>
      <c r="F41" s="107"/>
      <c r="G41" s="2">
        <v>0</v>
      </c>
      <c r="H41" s="33">
        <v>3.7199999999999998</v>
      </c>
      <c r="I41" s="33">
        <v>0.01</v>
      </c>
      <c r="J41" s="2">
        <f t="shared" si="8"/>
        <v>-6.910000000000001</v>
      </c>
      <c r="K41" s="112">
        <f t="shared" si="2"/>
        <v>3.7199999999999998</v>
      </c>
      <c r="L41" s="2">
        <f t="shared" si="9"/>
        <v>3.7199999999999998</v>
      </c>
      <c r="M41" s="2">
        <f t="shared" si="10"/>
        <v>0.01</v>
      </c>
      <c r="N41" s="15">
        <f t="shared" si="11"/>
        <v>0.3499529633113828</v>
      </c>
      <c r="O41" s="15">
        <f t="shared" si="12"/>
      </c>
      <c r="P41" s="78">
        <f t="shared" si="6"/>
      </c>
      <c r="Q41" s="15">
        <f t="shared" si="7"/>
      </c>
    </row>
    <row r="42" spans="1:17" ht="31.5">
      <c r="A42" s="132"/>
      <c r="B42" s="119"/>
      <c r="C42" s="84" t="s">
        <v>42</v>
      </c>
      <c r="D42" s="33">
        <v>40795.96</v>
      </c>
      <c r="E42" s="2">
        <f>150270.7</f>
        <v>150270.7</v>
      </c>
      <c r="F42" s="107">
        <v>11330</v>
      </c>
      <c r="G42" s="2">
        <v>10700</v>
      </c>
      <c r="H42" s="33">
        <v>14318.740000000002</v>
      </c>
      <c r="I42" s="33">
        <v>5324.89</v>
      </c>
      <c r="J42" s="2">
        <f t="shared" si="8"/>
        <v>-26477.219999999998</v>
      </c>
      <c r="K42" s="112">
        <f t="shared" si="2"/>
        <v>2988.7400000000016</v>
      </c>
      <c r="L42" s="2">
        <f t="shared" si="9"/>
        <v>-135951.96000000002</v>
      </c>
      <c r="M42" s="2">
        <f t="shared" si="10"/>
        <v>-5375.11</v>
      </c>
      <c r="N42" s="15">
        <f t="shared" si="11"/>
        <v>0.3509842641281147</v>
      </c>
      <c r="O42" s="15">
        <f t="shared" si="12"/>
        <v>0.4976532710280374</v>
      </c>
      <c r="P42" s="78">
        <f t="shared" si="6"/>
        <v>1.263789938217123</v>
      </c>
      <c r="Q42" s="15">
        <f t="shared" si="7"/>
        <v>0.09528630664527417</v>
      </c>
    </row>
    <row r="43" spans="1:17" ht="30" customHeight="1">
      <c r="A43" s="137"/>
      <c r="B43" s="141"/>
      <c r="C43" s="89" t="s">
        <v>92</v>
      </c>
      <c r="D43" s="33"/>
      <c r="E43" s="24">
        <v>0</v>
      </c>
      <c r="F43" s="107"/>
      <c r="G43" s="24">
        <v>0</v>
      </c>
      <c r="H43" s="33">
        <v>0</v>
      </c>
      <c r="I43" s="33">
        <v>0</v>
      </c>
      <c r="J43" s="2">
        <f t="shared" si="8"/>
        <v>0</v>
      </c>
      <c r="K43" s="112">
        <f t="shared" si="2"/>
        <v>0</v>
      </c>
      <c r="L43" s="2">
        <f t="shared" si="9"/>
        <v>0</v>
      </c>
      <c r="M43" s="2">
        <f t="shared" si="10"/>
        <v>0</v>
      </c>
      <c r="N43" s="15">
        <f t="shared" si="11"/>
      </c>
      <c r="O43" s="15">
        <f t="shared" si="12"/>
      </c>
      <c r="P43" s="78">
        <f t="shared" si="6"/>
      </c>
      <c r="Q43" s="15">
        <f t="shared" si="7"/>
      </c>
    </row>
    <row r="44" spans="1:17" ht="34.5" customHeight="1">
      <c r="A44" s="132"/>
      <c r="B44" s="119"/>
      <c r="C44" s="84" t="s">
        <v>43</v>
      </c>
      <c r="D44" s="33">
        <v>12209.39</v>
      </c>
      <c r="E44" s="2">
        <v>82177</v>
      </c>
      <c r="F44" s="107">
        <v>5800</v>
      </c>
      <c r="G44" s="2">
        <v>4000</v>
      </c>
      <c r="H44" s="33">
        <v>14229.66</v>
      </c>
      <c r="I44" s="33">
        <v>1923.81</v>
      </c>
      <c r="J44" s="2">
        <f t="shared" si="8"/>
        <v>2020.2700000000004</v>
      </c>
      <c r="K44" s="112">
        <f t="shared" si="2"/>
        <v>8429.66</v>
      </c>
      <c r="L44" s="2">
        <f t="shared" si="9"/>
        <v>-67947.34</v>
      </c>
      <c r="M44" s="2">
        <f t="shared" si="10"/>
        <v>-2076.19</v>
      </c>
      <c r="N44" s="15">
        <f t="shared" si="11"/>
        <v>1.1654685451115905</v>
      </c>
      <c r="O44" s="15">
        <f t="shared" si="12"/>
        <v>0.4809525</v>
      </c>
      <c r="P44" s="78">
        <f t="shared" si="6"/>
        <v>2.4533896551724137</v>
      </c>
      <c r="Q44" s="15">
        <f t="shared" si="7"/>
        <v>0.17315866970076785</v>
      </c>
    </row>
    <row r="45" spans="1:17" ht="36.75" customHeight="1">
      <c r="A45" s="138"/>
      <c r="B45" s="142"/>
      <c r="C45" s="84" t="s">
        <v>93</v>
      </c>
      <c r="D45" s="33"/>
      <c r="E45" s="27">
        <v>0</v>
      </c>
      <c r="F45" s="107"/>
      <c r="G45" s="27">
        <v>0</v>
      </c>
      <c r="H45" s="33">
        <v>0</v>
      </c>
      <c r="I45" s="33">
        <v>0</v>
      </c>
      <c r="J45" s="2">
        <f t="shared" si="8"/>
        <v>0</v>
      </c>
      <c r="K45" s="112">
        <f t="shared" si="2"/>
        <v>0</v>
      </c>
      <c r="L45" s="2">
        <f t="shared" si="9"/>
        <v>0</v>
      </c>
      <c r="M45" s="2">
        <f t="shared" si="10"/>
        <v>0</v>
      </c>
      <c r="N45" s="15">
        <f t="shared" si="11"/>
      </c>
      <c r="O45" s="15">
        <f t="shared" si="12"/>
      </c>
      <c r="P45" s="78">
        <f t="shared" si="6"/>
      </c>
      <c r="Q45" s="32"/>
    </row>
    <row r="46" spans="1:17" ht="18" customHeight="1">
      <c r="A46" s="137"/>
      <c r="B46" s="141"/>
      <c r="C46" s="21" t="s">
        <v>48</v>
      </c>
      <c r="D46" s="33">
        <v>1389.2800000000002</v>
      </c>
      <c r="E46" s="24">
        <v>8857.5</v>
      </c>
      <c r="F46" s="107"/>
      <c r="G46" s="24">
        <v>0</v>
      </c>
      <c r="H46" s="33">
        <v>2004.5700000000002</v>
      </c>
      <c r="I46" s="33">
        <v>1286.4700000000003</v>
      </c>
      <c r="J46" s="2">
        <f t="shared" si="8"/>
        <v>615.29</v>
      </c>
      <c r="K46" s="112">
        <f t="shared" si="2"/>
        <v>2004.5700000000002</v>
      </c>
      <c r="L46" s="2">
        <f t="shared" si="9"/>
        <v>-6852.93</v>
      </c>
      <c r="M46" s="2">
        <f t="shared" si="10"/>
        <v>1286.4700000000003</v>
      </c>
      <c r="N46" s="15">
        <f t="shared" si="11"/>
        <v>1.44288408384199</v>
      </c>
      <c r="O46" s="15">
        <f t="shared" si="12"/>
      </c>
      <c r="P46" s="78">
        <f t="shared" si="6"/>
      </c>
      <c r="Q46" s="15">
        <f aca="true" t="shared" si="13" ref="Q46:Q82">_xlfn.IFERROR(H46/E46,"")</f>
        <v>0.22631329381879764</v>
      </c>
    </row>
    <row r="47" spans="1:17" ht="18.75" customHeight="1">
      <c r="A47" s="137"/>
      <c r="B47" s="141"/>
      <c r="C47" s="21" t="s">
        <v>90</v>
      </c>
      <c r="D47" s="33">
        <v>3703.94</v>
      </c>
      <c r="E47" s="24">
        <v>46764</v>
      </c>
      <c r="F47" s="107">
        <v>7792</v>
      </c>
      <c r="G47" s="24">
        <v>3896</v>
      </c>
      <c r="H47" s="33">
        <v>6849.71</v>
      </c>
      <c r="I47" s="33">
        <v>3184.7700000000004</v>
      </c>
      <c r="J47" s="2">
        <f t="shared" si="8"/>
        <v>3145.77</v>
      </c>
      <c r="K47" s="112">
        <f t="shared" si="2"/>
        <v>-942.29</v>
      </c>
      <c r="L47" s="2">
        <f t="shared" si="9"/>
        <v>-39914.29</v>
      </c>
      <c r="M47" s="2">
        <f t="shared" si="10"/>
        <v>-711.2299999999996</v>
      </c>
      <c r="N47" s="15">
        <f t="shared" si="11"/>
        <v>1.8493037144230198</v>
      </c>
      <c r="O47" s="15">
        <f t="shared" si="12"/>
        <v>0.8174460985626284</v>
      </c>
      <c r="P47" s="78">
        <f t="shared" si="6"/>
        <v>0.8790695585215605</v>
      </c>
      <c r="Q47" s="15">
        <f t="shared" si="13"/>
        <v>0.14647399709178</v>
      </c>
    </row>
    <row r="48" spans="1:17" ht="18" customHeight="1">
      <c r="A48" s="132"/>
      <c r="B48" s="132"/>
      <c r="C48" s="85" t="s">
        <v>7</v>
      </c>
      <c r="D48" s="74">
        <f>SUM(D37:D47)</f>
        <v>151510.63000000003</v>
      </c>
      <c r="E48" s="74">
        <f>SUM(E37:E47)</f>
        <v>848881.2</v>
      </c>
      <c r="F48" s="74">
        <f>SUM(F37:F47)</f>
        <v>105002</v>
      </c>
      <c r="G48" s="74">
        <f>SUM(G37:G47)</f>
        <v>89146</v>
      </c>
      <c r="H48" s="74">
        <f>SUM(H37:H47)</f>
        <v>131321.64</v>
      </c>
      <c r="I48" s="74">
        <f>SUM(I37:I47)</f>
        <v>91275.17</v>
      </c>
      <c r="J48" s="74">
        <f t="shared" si="8"/>
        <v>-20188.99000000002</v>
      </c>
      <c r="K48" s="112">
        <f t="shared" si="2"/>
        <v>26319.640000000014</v>
      </c>
      <c r="L48" s="74">
        <f t="shared" si="9"/>
        <v>-717559.5599999999</v>
      </c>
      <c r="M48" s="74">
        <f t="shared" si="10"/>
        <v>2129.1699999999983</v>
      </c>
      <c r="N48" s="15">
        <f t="shared" si="11"/>
        <v>0.8667486895143924</v>
      </c>
      <c r="O48" s="15">
        <f t="shared" si="12"/>
        <v>1.0238840778049492</v>
      </c>
      <c r="P48" s="78">
        <f t="shared" si="6"/>
        <v>1.2506584636483116</v>
      </c>
      <c r="Q48" s="15">
        <f t="shared" si="13"/>
        <v>0.1546996682221258</v>
      </c>
    </row>
    <row r="49" spans="1:17" ht="18" customHeight="1" hidden="1">
      <c r="A49" s="132" t="s">
        <v>44</v>
      </c>
      <c r="B49" s="119" t="s">
        <v>45</v>
      </c>
      <c r="C49" s="21" t="s">
        <v>26</v>
      </c>
      <c r="D49" s="43">
        <v>0</v>
      </c>
      <c r="E49" s="2">
        <v>123</v>
      </c>
      <c r="F49" s="107"/>
      <c r="G49" s="2">
        <v>0</v>
      </c>
      <c r="H49" s="43">
        <v>0</v>
      </c>
      <c r="I49" s="43">
        <v>0</v>
      </c>
      <c r="J49" s="3">
        <f t="shared" si="8"/>
        <v>0</v>
      </c>
      <c r="K49" s="112">
        <f t="shared" si="2"/>
        <v>0</v>
      </c>
      <c r="L49" s="3">
        <f t="shared" si="9"/>
        <v>-123</v>
      </c>
      <c r="M49" s="3">
        <f t="shared" si="10"/>
        <v>0</v>
      </c>
      <c r="N49" s="15">
        <f t="shared" si="11"/>
      </c>
      <c r="O49" s="15">
        <f t="shared" si="12"/>
      </c>
      <c r="P49" s="78">
        <f t="shared" si="6"/>
      </c>
      <c r="Q49" s="15">
        <f t="shared" si="13"/>
        <v>0</v>
      </c>
    </row>
    <row r="50" spans="1:17" ht="18" customHeight="1" hidden="1">
      <c r="A50" s="132"/>
      <c r="B50" s="119"/>
      <c r="C50" s="90" t="s">
        <v>7</v>
      </c>
      <c r="D50" s="75">
        <f>SUM(D49:D49)</f>
        <v>0</v>
      </c>
      <c r="E50" s="75">
        <f>SUM(E49:E49)</f>
        <v>123</v>
      </c>
      <c r="F50" s="75">
        <f>SUM(F49:F49)</f>
        <v>0</v>
      </c>
      <c r="G50" s="75">
        <f>SUM(G49:G49)</f>
        <v>0</v>
      </c>
      <c r="H50" s="75">
        <f>SUM(H49:H49)</f>
        <v>0</v>
      </c>
      <c r="I50" s="75">
        <f>SUM(I49:I49)</f>
        <v>0</v>
      </c>
      <c r="J50" s="76">
        <f t="shared" si="8"/>
        <v>0</v>
      </c>
      <c r="K50" s="112">
        <f t="shared" si="2"/>
        <v>0</v>
      </c>
      <c r="L50" s="76">
        <f t="shared" si="9"/>
        <v>-123</v>
      </c>
      <c r="M50" s="76">
        <f t="shared" si="10"/>
        <v>0</v>
      </c>
      <c r="N50" s="15">
        <f t="shared" si="11"/>
      </c>
      <c r="O50" s="15">
        <f t="shared" si="12"/>
      </c>
      <c r="P50" s="78">
        <f t="shared" si="6"/>
      </c>
      <c r="Q50" s="15">
        <f t="shared" si="13"/>
        <v>0</v>
      </c>
    </row>
    <row r="51" spans="1:17" ht="18" customHeight="1">
      <c r="A51" s="146" t="s">
        <v>47</v>
      </c>
      <c r="B51" s="144" t="s">
        <v>73</v>
      </c>
      <c r="C51" s="91" t="s">
        <v>81</v>
      </c>
      <c r="D51" s="43">
        <v>72745.39</v>
      </c>
      <c r="E51" s="2">
        <v>596188</v>
      </c>
      <c r="F51" s="107">
        <v>94021.7</v>
      </c>
      <c r="G51" s="2">
        <v>46905.1</v>
      </c>
      <c r="H51" s="43">
        <v>84207.9</v>
      </c>
      <c r="I51" s="43">
        <v>28377.36</v>
      </c>
      <c r="J51" s="3">
        <f t="shared" si="8"/>
        <v>11462.509999999995</v>
      </c>
      <c r="K51" s="112">
        <f t="shared" si="2"/>
        <v>-9813.800000000003</v>
      </c>
      <c r="L51" s="3">
        <f t="shared" si="9"/>
        <v>-511980.1</v>
      </c>
      <c r="M51" s="3">
        <f t="shared" si="10"/>
        <v>-18527.739999999998</v>
      </c>
      <c r="N51" s="15">
        <f t="shared" si="11"/>
        <v>1.1575702597786608</v>
      </c>
      <c r="O51" s="15">
        <f t="shared" si="12"/>
        <v>0.6049951924204404</v>
      </c>
      <c r="P51" s="78">
        <f t="shared" si="6"/>
        <v>0.8956219681201254</v>
      </c>
      <c r="Q51" s="15">
        <f t="shared" si="13"/>
        <v>0.14124386938348304</v>
      </c>
    </row>
    <row r="52" spans="1:17" ht="18" customHeight="1">
      <c r="A52" s="125"/>
      <c r="B52" s="128"/>
      <c r="C52" s="91" t="s">
        <v>76</v>
      </c>
      <c r="D52" s="43">
        <v>47328.47</v>
      </c>
      <c r="E52" s="23">
        <v>454879.5</v>
      </c>
      <c r="F52" s="107">
        <v>57611.600000000006</v>
      </c>
      <c r="G52" s="23">
        <v>24064.8</v>
      </c>
      <c r="H52" s="43">
        <v>58441.06</v>
      </c>
      <c r="I52" s="43">
        <v>16800.79</v>
      </c>
      <c r="J52" s="33">
        <f t="shared" si="8"/>
        <v>11112.589999999997</v>
      </c>
      <c r="K52" s="112">
        <f t="shared" si="2"/>
        <v>829.4599999999919</v>
      </c>
      <c r="L52" s="33">
        <f t="shared" si="9"/>
        <v>-396438.44</v>
      </c>
      <c r="M52" s="33">
        <f>I52-G52</f>
        <v>-7264.009999999998</v>
      </c>
      <c r="N52" s="15">
        <f t="shared" si="11"/>
        <v>1.2347971527497086</v>
      </c>
      <c r="O52" s="15">
        <f t="shared" si="12"/>
        <v>0.6981479172899838</v>
      </c>
      <c r="P52" s="78">
        <f t="shared" si="6"/>
        <v>1.0143974477362196</v>
      </c>
      <c r="Q52" s="15">
        <f t="shared" si="13"/>
        <v>0.12847591505002973</v>
      </c>
    </row>
    <row r="53" spans="1:17" ht="18" customHeight="1">
      <c r="A53" s="125"/>
      <c r="B53" s="128"/>
      <c r="C53" s="91" t="s">
        <v>77</v>
      </c>
      <c r="D53" s="43">
        <v>444500.9</v>
      </c>
      <c r="E53" s="2">
        <v>4256276</v>
      </c>
      <c r="F53" s="107">
        <v>601295.5</v>
      </c>
      <c r="G53" s="2">
        <v>310096.6</v>
      </c>
      <c r="H53" s="43">
        <v>443816.74</v>
      </c>
      <c r="I53" s="43">
        <v>170663.73</v>
      </c>
      <c r="J53" s="3">
        <f t="shared" si="8"/>
        <v>-684.1600000000326</v>
      </c>
      <c r="K53" s="112">
        <f t="shared" si="2"/>
        <v>-157478.76</v>
      </c>
      <c r="L53" s="3">
        <f t="shared" si="9"/>
        <v>-3812459.26</v>
      </c>
      <c r="M53" s="3">
        <f t="shared" si="10"/>
        <v>-139432.86999999997</v>
      </c>
      <c r="N53" s="15">
        <f t="shared" si="11"/>
        <v>0.998460835512369</v>
      </c>
      <c r="O53" s="15">
        <f t="shared" si="12"/>
        <v>0.5503566630527391</v>
      </c>
      <c r="P53" s="78">
        <f t="shared" si="6"/>
        <v>0.7381008838416386</v>
      </c>
      <c r="Q53" s="15">
        <f t="shared" si="13"/>
        <v>0.10427348696372134</v>
      </c>
    </row>
    <row r="54" spans="1:17" ht="18" customHeight="1">
      <c r="A54" s="125"/>
      <c r="B54" s="128"/>
      <c r="C54" s="91" t="s">
        <v>78</v>
      </c>
      <c r="D54" s="43">
        <v>115.15</v>
      </c>
      <c r="E54" s="2">
        <v>1182.8</v>
      </c>
      <c r="F54" s="107">
        <v>170</v>
      </c>
      <c r="G54" s="2">
        <v>120</v>
      </c>
      <c r="H54" s="43">
        <v>124.3</v>
      </c>
      <c r="I54" s="43">
        <v>20.35</v>
      </c>
      <c r="J54" s="3">
        <f t="shared" si="8"/>
        <v>9.149999999999991</v>
      </c>
      <c r="K54" s="112">
        <f t="shared" si="2"/>
        <v>-45.7</v>
      </c>
      <c r="L54" s="3">
        <f t="shared" si="9"/>
        <v>-1058.5</v>
      </c>
      <c r="M54" s="3">
        <f t="shared" si="10"/>
        <v>-99.65</v>
      </c>
      <c r="N54" s="15">
        <f t="shared" si="11"/>
        <v>1.0794615718627876</v>
      </c>
      <c r="O54" s="15">
        <f t="shared" si="12"/>
        <v>0.16958333333333334</v>
      </c>
      <c r="P54" s="78">
        <f t="shared" si="6"/>
        <v>0.7311764705882353</v>
      </c>
      <c r="Q54" s="15">
        <f t="shared" si="13"/>
        <v>0.10508961785593507</v>
      </c>
    </row>
    <row r="55" spans="1:17" ht="18" customHeight="1">
      <c r="A55" s="147"/>
      <c r="B55" s="145"/>
      <c r="C55" s="92" t="s">
        <v>7</v>
      </c>
      <c r="D55" s="4">
        <f>SUM(D51:D54)</f>
        <v>564689.91</v>
      </c>
      <c r="E55" s="4">
        <f>SUM(E51:E54)</f>
        <v>5308526.3</v>
      </c>
      <c r="F55" s="4">
        <f>SUM(F51:F54)</f>
        <v>753098.8</v>
      </c>
      <c r="G55" s="4">
        <f>SUM(G51:G54)</f>
        <v>381186.5</v>
      </c>
      <c r="H55" s="4">
        <f>SUM(H51:H54)</f>
        <v>586590</v>
      </c>
      <c r="I55" s="4">
        <f>SUM(I51:I54)</f>
        <v>215862.23</v>
      </c>
      <c r="J55" s="4">
        <f t="shared" si="8"/>
        <v>21900.089999999967</v>
      </c>
      <c r="K55" s="112">
        <f t="shared" si="2"/>
        <v>-166508.80000000005</v>
      </c>
      <c r="L55" s="4">
        <f t="shared" si="9"/>
        <v>-4721936.3</v>
      </c>
      <c r="M55" s="4">
        <f t="shared" si="10"/>
        <v>-165324.27</v>
      </c>
      <c r="N55" s="15">
        <f t="shared" si="11"/>
        <v>1.038782506313952</v>
      </c>
      <c r="O55" s="15">
        <f t="shared" si="12"/>
        <v>0.5662903329472582</v>
      </c>
      <c r="P55" s="78">
        <f t="shared" si="6"/>
        <v>0.7789017855293355</v>
      </c>
      <c r="Q55" s="15">
        <f t="shared" si="13"/>
        <v>0.11049959383266124</v>
      </c>
    </row>
    <row r="56" spans="1:17" ht="18" customHeight="1">
      <c r="A56" s="143">
        <v>991</v>
      </c>
      <c r="B56" s="143" t="s">
        <v>49</v>
      </c>
      <c r="C56" s="84" t="s">
        <v>50</v>
      </c>
      <c r="D56" s="43">
        <v>6437.28</v>
      </c>
      <c r="E56" s="2">
        <v>67760.3</v>
      </c>
      <c r="F56" s="107">
        <v>9900</v>
      </c>
      <c r="G56" s="2">
        <v>5600</v>
      </c>
      <c r="H56" s="43">
        <v>6753.51</v>
      </c>
      <c r="I56" s="43">
        <v>2613.82</v>
      </c>
      <c r="J56" s="2">
        <f t="shared" si="8"/>
        <v>316.2300000000005</v>
      </c>
      <c r="K56" s="112">
        <f t="shared" si="2"/>
        <v>-3146.49</v>
      </c>
      <c r="L56" s="2">
        <f t="shared" si="9"/>
        <v>-61006.79</v>
      </c>
      <c r="M56" s="2">
        <f t="shared" si="10"/>
        <v>-2986.18</v>
      </c>
      <c r="N56" s="15">
        <f t="shared" si="11"/>
        <v>1.0491247856237418</v>
      </c>
      <c r="O56" s="15">
        <f t="shared" si="12"/>
        <v>0.46675357142857143</v>
      </c>
      <c r="P56" s="78">
        <f t="shared" si="6"/>
        <v>0.6821727272727273</v>
      </c>
      <c r="Q56" s="15">
        <f t="shared" si="13"/>
        <v>0.09966765200272136</v>
      </c>
    </row>
    <row r="57" spans="1:17" ht="19.5" customHeight="1">
      <c r="A57" s="143"/>
      <c r="B57" s="143"/>
      <c r="C57" s="21" t="s">
        <v>51</v>
      </c>
      <c r="D57" s="43"/>
      <c r="E57" s="2">
        <v>0</v>
      </c>
      <c r="F57" s="107"/>
      <c r="G57" s="2">
        <v>0</v>
      </c>
      <c r="H57" s="43">
        <v>0</v>
      </c>
      <c r="I57" s="43">
        <v>0</v>
      </c>
      <c r="J57" s="2">
        <f t="shared" si="8"/>
        <v>0</v>
      </c>
      <c r="K57" s="112">
        <f t="shared" si="2"/>
        <v>0</v>
      </c>
      <c r="L57" s="2">
        <f t="shared" si="9"/>
        <v>0</v>
      </c>
      <c r="M57" s="2">
        <f t="shared" si="10"/>
        <v>0</v>
      </c>
      <c r="N57" s="15">
        <f t="shared" si="11"/>
      </c>
      <c r="O57" s="15">
        <f t="shared" si="12"/>
      </c>
      <c r="P57" s="78">
        <f t="shared" si="6"/>
      </c>
      <c r="Q57" s="15">
        <f t="shared" si="13"/>
      </c>
    </row>
    <row r="58" spans="1:17" ht="15.75" customHeight="1">
      <c r="A58" s="143"/>
      <c r="B58" s="143"/>
      <c r="C58" s="85" t="s">
        <v>7</v>
      </c>
      <c r="D58" s="74">
        <f>SUM(D56:D57)</f>
        <v>6437.28</v>
      </c>
      <c r="E58" s="74">
        <f>SUM(E56:E57)</f>
        <v>67760.3</v>
      </c>
      <c r="F58" s="74">
        <f>SUM(F56:F57)</f>
        <v>9900</v>
      </c>
      <c r="G58" s="74">
        <f>SUM(G56:G57)</f>
        <v>5600</v>
      </c>
      <c r="H58" s="74">
        <f>SUM(H56:H57)</f>
        <v>6753.51</v>
      </c>
      <c r="I58" s="74">
        <f>SUM(I56:I57)</f>
        <v>2613.82</v>
      </c>
      <c r="J58" s="74">
        <f t="shared" si="8"/>
        <v>316.2300000000005</v>
      </c>
      <c r="K58" s="112">
        <f t="shared" si="2"/>
        <v>-3146.49</v>
      </c>
      <c r="L58" s="74">
        <f t="shared" si="9"/>
        <v>-61006.79</v>
      </c>
      <c r="M58" s="74">
        <f t="shared" si="10"/>
        <v>-2986.18</v>
      </c>
      <c r="N58" s="15">
        <f t="shared" si="11"/>
        <v>1.0491247856237418</v>
      </c>
      <c r="O58" s="15">
        <f t="shared" si="12"/>
        <v>0.46675357142857143</v>
      </c>
      <c r="P58" s="78">
        <f t="shared" si="6"/>
        <v>0.6821727272727273</v>
      </c>
      <c r="Q58" s="26">
        <f t="shared" si="13"/>
        <v>0.09966765200272136</v>
      </c>
    </row>
    <row r="59" spans="1:17" ht="18" customHeight="1">
      <c r="A59" s="132" t="s">
        <v>52</v>
      </c>
      <c r="B59" s="119" t="s">
        <v>53</v>
      </c>
      <c r="C59" s="21" t="s">
        <v>54</v>
      </c>
      <c r="D59" s="43">
        <v>425.55</v>
      </c>
      <c r="E59" s="2">
        <v>10532.900000000001</v>
      </c>
      <c r="F59" s="107">
        <v>496.59999999999997</v>
      </c>
      <c r="G59" s="2">
        <v>447.9</v>
      </c>
      <c r="H59" s="43">
        <v>2348.33</v>
      </c>
      <c r="I59" s="43">
        <v>2623.09</v>
      </c>
      <c r="J59" s="2">
        <f t="shared" si="8"/>
        <v>1922.78</v>
      </c>
      <c r="K59" s="112">
        <f t="shared" si="2"/>
        <v>1851.73</v>
      </c>
      <c r="L59" s="2">
        <f t="shared" si="9"/>
        <v>-8184.5700000000015</v>
      </c>
      <c r="M59" s="2">
        <f t="shared" si="10"/>
        <v>2175.19</v>
      </c>
      <c r="N59" s="26">
        <f t="shared" si="11"/>
        <v>5.518340970508753</v>
      </c>
      <c r="O59" s="26">
        <f t="shared" si="12"/>
        <v>5.856418843491851</v>
      </c>
      <c r="P59" s="78">
        <f t="shared" si="6"/>
        <v>4.728815948449457</v>
      </c>
      <c r="Q59" s="15">
        <f t="shared" si="13"/>
        <v>0.22295189359055906</v>
      </c>
    </row>
    <row r="60" spans="1:17" ht="18" customHeight="1">
      <c r="A60" s="133"/>
      <c r="B60" s="134"/>
      <c r="C60" s="93" t="s">
        <v>94</v>
      </c>
      <c r="D60" s="44">
        <v>3152.5</v>
      </c>
      <c r="E60" s="39">
        <f>26222.8</f>
        <v>26222.8</v>
      </c>
      <c r="F60" s="107">
        <v>600</v>
      </c>
      <c r="G60" s="39">
        <v>500</v>
      </c>
      <c r="H60" s="44">
        <v>1268.96</v>
      </c>
      <c r="I60" s="44">
        <v>845.59</v>
      </c>
      <c r="J60" s="2">
        <f t="shared" si="8"/>
        <v>-1883.54</v>
      </c>
      <c r="K60" s="112">
        <f t="shared" si="2"/>
        <v>668.96</v>
      </c>
      <c r="L60" s="2">
        <f t="shared" si="9"/>
        <v>-24953.84</v>
      </c>
      <c r="M60" s="2">
        <f t="shared" si="10"/>
        <v>345.59000000000003</v>
      </c>
      <c r="N60" s="26">
        <f t="shared" si="11"/>
        <v>0.4025249801744647</v>
      </c>
      <c r="O60" s="26">
        <f t="shared" si="12"/>
        <v>1.6911800000000001</v>
      </c>
      <c r="P60" s="78">
        <f t="shared" si="6"/>
        <v>2.1149333333333336</v>
      </c>
      <c r="Q60" s="15">
        <f t="shared" si="13"/>
        <v>0.0483914761200177</v>
      </c>
    </row>
    <row r="61" spans="1:17" ht="18" customHeight="1">
      <c r="A61" s="132"/>
      <c r="B61" s="119"/>
      <c r="C61" s="92" t="s">
        <v>7</v>
      </c>
      <c r="D61" s="4">
        <f>SUBTOTAL(9,D59:D60)</f>
        <v>3578.05</v>
      </c>
      <c r="E61" s="4">
        <f>SUBTOTAL(9,E59:E60)</f>
        <v>36755.7</v>
      </c>
      <c r="F61" s="4">
        <f>SUBTOTAL(9,F59:F60)</f>
        <v>1096.6</v>
      </c>
      <c r="G61" s="4">
        <f>SUBTOTAL(9,G59:G60)</f>
        <v>947.9</v>
      </c>
      <c r="H61" s="4">
        <f>SUBTOTAL(9,H59:H60)</f>
        <v>3617.29</v>
      </c>
      <c r="I61" s="4">
        <f>SUBTOTAL(9,I59:I60)</f>
        <v>3468.6800000000003</v>
      </c>
      <c r="J61" s="4">
        <f t="shared" si="8"/>
        <v>39.23999999999978</v>
      </c>
      <c r="K61" s="112">
        <f t="shared" si="2"/>
        <v>2520.69</v>
      </c>
      <c r="L61" s="4">
        <f t="shared" si="9"/>
        <v>-33138.409999999996</v>
      </c>
      <c r="M61" s="4">
        <f t="shared" si="10"/>
        <v>2520.78</v>
      </c>
      <c r="N61" s="15">
        <f t="shared" si="11"/>
        <v>1.0109668674277887</v>
      </c>
      <c r="O61" s="15">
        <f t="shared" si="12"/>
        <v>3.6593311530752195</v>
      </c>
      <c r="P61" s="78">
        <f t="shared" si="6"/>
        <v>3.2986412547875252</v>
      </c>
      <c r="Q61" s="15">
        <f t="shared" si="13"/>
        <v>0.09841439559034382</v>
      </c>
    </row>
    <row r="62" spans="1:17" ht="18" customHeight="1">
      <c r="A62" s="119"/>
      <c r="B62" s="119" t="s">
        <v>55</v>
      </c>
      <c r="C62" s="86" t="s">
        <v>56</v>
      </c>
      <c r="D62" s="43">
        <v>36.23</v>
      </c>
      <c r="E62" s="2">
        <v>254.5</v>
      </c>
      <c r="F62" s="107">
        <v>42.4</v>
      </c>
      <c r="G62" s="2">
        <v>21.2</v>
      </c>
      <c r="H62" s="43">
        <v>44.61</v>
      </c>
      <c r="I62" s="43">
        <v>33.35</v>
      </c>
      <c r="J62" s="2">
        <f t="shared" si="8"/>
        <v>8.380000000000003</v>
      </c>
      <c r="K62" s="112">
        <f t="shared" si="2"/>
        <v>2.210000000000001</v>
      </c>
      <c r="L62" s="2">
        <f t="shared" si="9"/>
        <v>-209.89</v>
      </c>
      <c r="M62" s="2">
        <f t="shared" si="10"/>
        <v>12.150000000000002</v>
      </c>
      <c r="N62" s="15">
        <f t="shared" si="11"/>
        <v>1.2313000276014354</v>
      </c>
      <c r="O62" s="15">
        <f t="shared" si="12"/>
        <v>1.5731132075471699</v>
      </c>
      <c r="P62" s="78">
        <f t="shared" si="6"/>
        <v>1.052122641509434</v>
      </c>
      <c r="Q62" s="15">
        <f t="shared" si="13"/>
        <v>0.17528487229862474</v>
      </c>
    </row>
    <row r="63" spans="1:17" ht="18" customHeight="1">
      <c r="A63" s="139"/>
      <c r="B63" s="139"/>
      <c r="C63" s="21" t="s">
        <v>87</v>
      </c>
      <c r="D63" s="43">
        <v>-162.94</v>
      </c>
      <c r="E63" s="5">
        <v>49.4</v>
      </c>
      <c r="F63" s="107">
        <v>49.4</v>
      </c>
      <c r="G63" s="5">
        <v>49.4</v>
      </c>
      <c r="H63" s="43">
        <v>297.18</v>
      </c>
      <c r="I63" s="43">
        <v>213.21</v>
      </c>
      <c r="J63" s="5">
        <f t="shared" si="8"/>
        <v>460.12</v>
      </c>
      <c r="K63" s="112">
        <f t="shared" si="2"/>
        <v>247.78</v>
      </c>
      <c r="L63" s="5">
        <f t="shared" si="9"/>
        <v>247.78</v>
      </c>
      <c r="M63" s="5">
        <f t="shared" si="10"/>
        <v>163.81</v>
      </c>
      <c r="N63" s="15">
        <f t="shared" si="11"/>
        <v>-1.8238615441266726</v>
      </c>
      <c r="O63" s="15">
        <f t="shared" si="12"/>
        <v>4.315991902834009</v>
      </c>
      <c r="P63" s="78">
        <f t="shared" si="6"/>
        <v>6.015789473684211</v>
      </c>
      <c r="Q63" s="15">
        <f t="shared" si="13"/>
        <v>6.015789473684211</v>
      </c>
    </row>
    <row r="64" spans="1:17" ht="18" customHeight="1">
      <c r="A64" s="119"/>
      <c r="B64" s="119"/>
      <c r="C64" s="21" t="s">
        <v>26</v>
      </c>
      <c r="D64" s="43"/>
      <c r="E64" s="2">
        <v>0</v>
      </c>
      <c r="F64" s="107"/>
      <c r="G64" s="2">
        <v>0</v>
      </c>
      <c r="H64" s="43">
        <v>0</v>
      </c>
      <c r="I64" s="43">
        <v>0</v>
      </c>
      <c r="J64" s="2">
        <f t="shared" si="8"/>
        <v>0</v>
      </c>
      <c r="K64" s="112">
        <f t="shared" si="2"/>
        <v>0</v>
      </c>
      <c r="L64" s="2">
        <f t="shared" si="9"/>
        <v>0</v>
      </c>
      <c r="M64" s="2">
        <f t="shared" si="10"/>
        <v>0</v>
      </c>
      <c r="N64" s="15">
        <f t="shared" si="11"/>
      </c>
      <c r="O64" s="15">
        <f t="shared" si="12"/>
      </c>
      <c r="P64" s="78">
        <f t="shared" si="6"/>
      </c>
      <c r="Q64" s="15">
        <f t="shared" si="13"/>
      </c>
    </row>
    <row r="65" spans="1:17" ht="17.25" customHeight="1">
      <c r="A65" s="119"/>
      <c r="B65" s="119"/>
      <c r="C65" s="21" t="s">
        <v>46</v>
      </c>
      <c r="D65" s="43">
        <v>11361.020000000004</v>
      </c>
      <c r="E65" s="2">
        <f>715.4</f>
        <v>715.4</v>
      </c>
      <c r="F65" s="107">
        <v>100</v>
      </c>
      <c r="G65" s="2">
        <v>60</v>
      </c>
      <c r="H65" s="43">
        <v>5781.889999999956</v>
      </c>
      <c r="I65" s="43">
        <v>4843.150000000028</v>
      </c>
      <c r="J65" s="2">
        <f t="shared" si="8"/>
        <v>-5579.130000000048</v>
      </c>
      <c r="K65" s="112">
        <f t="shared" si="2"/>
        <v>5681.889999999956</v>
      </c>
      <c r="L65" s="2">
        <f t="shared" si="9"/>
        <v>5066.489999999956</v>
      </c>
      <c r="M65" s="2">
        <f t="shared" si="10"/>
        <v>4783.150000000028</v>
      </c>
      <c r="N65" s="34">
        <f t="shared" si="11"/>
        <v>0.5089234945453801</v>
      </c>
      <c r="O65" s="34">
        <f t="shared" si="12"/>
        <v>80.71916666666714</v>
      </c>
      <c r="P65" s="78">
        <f t="shared" si="6"/>
        <v>57.81889999999956</v>
      </c>
      <c r="Q65" s="34">
        <f t="shared" si="13"/>
        <v>8.082038020687666</v>
      </c>
    </row>
    <row r="66" spans="1:17" ht="18" customHeight="1">
      <c r="A66" s="119"/>
      <c r="B66" s="119"/>
      <c r="C66" s="21" t="s">
        <v>48</v>
      </c>
      <c r="D66" s="43">
        <v>9386.330000000002</v>
      </c>
      <c r="E66" s="2">
        <f>99053.2</f>
        <v>99053.2</v>
      </c>
      <c r="F66" s="107">
        <v>10909.7</v>
      </c>
      <c r="G66" s="2">
        <v>5689.3</v>
      </c>
      <c r="H66" s="43">
        <v>10922.500000000005</v>
      </c>
      <c r="I66" s="43">
        <v>6827.230000000002</v>
      </c>
      <c r="J66" s="2">
        <f t="shared" si="8"/>
        <v>1536.1700000000037</v>
      </c>
      <c r="K66" s="112">
        <f t="shared" si="2"/>
        <v>12.80000000000473</v>
      </c>
      <c r="L66" s="2">
        <f t="shared" si="9"/>
        <v>-88130.7</v>
      </c>
      <c r="M66" s="2">
        <f t="shared" si="10"/>
        <v>1137.930000000002</v>
      </c>
      <c r="N66" s="15">
        <f t="shared" si="11"/>
        <v>1.1636603443518396</v>
      </c>
      <c r="O66" s="15">
        <f t="shared" si="12"/>
        <v>1.2000123037983588</v>
      </c>
      <c r="P66" s="78">
        <f t="shared" si="6"/>
        <v>1.0011732678258802</v>
      </c>
      <c r="Q66" s="15">
        <f t="shared" si="13"/>
        <v>0.11026902714904724</v>
      </c>
    </row>
    <row r="67" spans="1:17" ht="18" customHeight="1">
      <c r="A67" s="119"/>
      <c r="B67" s="119"/>
      <c r="C67" s="21" t="s">
        <v>57</v>
      </c>
      <c r="D67" s="43">
        <v>-6156.82</v>
      </c>
      <c r="E67" s="2">
        <v>0</v>
      </c>
      <c r="F67" s="107"/>
      <c r="G67" s="2">
        <v>0</v>
      </c>
      <c r="H67" s="43">
        <v>139.44</v>
      </c>
      <c r="I67" s="43">
        <v>111.49</v>
      </c>
      <c r="J67" s="2">
        <f t="shared" si="8"/>
        <v>6296.259999999999</v>
      </c>
      <c r="K67" s="112">
        <f t="shared" si="2"/>
        <v>139.44</v>
      </c>
      <c r="L67" s="2">
        <f t="shared" si="9"/>
        <v>139.44</v>
      </c>
      <c r="M67" s="2">
        <f t="shared" si="10"/>
        <v>111.49</v>
      </c>
      <c r="N67" s="15">
        <f t="shared" si="11"/>
        <v>-0.022648055327263102</v>
      </c>
      <c r="O67" s="15">
        <f t="shared" si="12"/>
      </c>
      <c r="P67" s="78">
        <f t="shared" si="6"/>
      </c>
      <c r="Q67" s="15">
        <f t="shared" si="13"/>
      </c>
    </row>
    <row r="68" spans="1:17" s="11" customFormat="1" ht="23.25" customHeight="1">
      <c r="A68" s="162"/>
      <c r="B68" s="162"/>
      <c r="C68" s="117" t="s">
        <v>38</v>
      </c>
      <c r="D68" s="33">
        <f>17.04+9.12</f>
        <v>26.159999999999997</v>
      </c>
      <c r="E68" s="2">
        <v>0</v>
      </c>
      <c r="F68" s="107"/>
      <c r="G68" s="2">
        <v>0</v>
      </c>
      <c r="H68" s="33">
        <v>64.65</v>
      </c>
      <c r="I68" s="33">
        <v>64.65</v>
      </c>
      <c r="J68" s="2">
        <f t="shared" si="8"/>
        <v>38.49000000000001</v>
      </c>
      <c r="K68" s="112">
        <f t="shared" si="2"/>
        <v>64.65</v>
      </c>
      <c r="L68" s="2">
        <f t="shared" si="9"/>
        <v>64.65</v>
      </c>
      <c r="M68" s="2">
        <f t="shared" si="10"/>
        <v>64.65</v>
      </c>
      <c r="N68" s="15">
        <f t="shared" si="11"/>
        <v>2.4713302752293584</v>
      </c>
      <c r="O68" s="15">
        <f t="shared" si="12"/>
      </c>
      <c r="P68" s="78">
        <f t="shared" si="6"/>
      </c>
      <c r="Q68" s="15">
        <f t="shared" si="13"/>
      </c>
    </row>
    <row r="69" spans="1:17" ht="17.25" customHeight="1">
      <c r="A69" s="163"/>
      <c r="B69" s="163"/>
      <c r="C69" s="21" t="s">
        <v>88</v>
      </c>
      <c r="D69" s="43">
        <v>83.58</v>
      </c>
      <c r="E69" s="2">
        <v>0</v>
      </c>
      <c r="F69" s="107"/>
      <c r="G69" s="2">
        <v>0</v>
      </c>
      <c r="H69" s="43">
        <v>0</v>
      </c>
      <c r="I69" s="43">
        <v>0</v>
      </c>
      <c r="J69" s="2">
        <f t="shared" si="8"/>
        <v>-83.58</v>
      </c>
      <c r="K69" s="112">
        <f t="shared" si="2"/>
        <v>0</v>
      </c>
      <c r="L69" s="2">
        <f aca="true" t="shared" si="14" ref="L69:L82">H69-E69</f>
        <v>0</v>
      </c>
      <c r="M69" s="2">
        <f aca="true" t="shared" si="15" ref="M69:M82">I69-G69</f>
        <v>0</v>
      </c>
      <c r="N69" s="15">
        <f aca="true" t="shared" si="16" ref="N69:N82">_xlfn.IFERROR(H69/D69,"")</f>
        <v>0</v>
      </c>
      <c r="O69" s="15">
        <f aca="true" t="shared" si="17" ref="O69:O78">_xlfn.IFERROR(I69/G69,"")</f>
      </c>
      <c r="P69" s="78">
        <f t="shared" si="6"/>
      </c>
      <c r="Q69" s="15">
        <f t="shared" si="13"/>
      </c>
    </row>
    <row r="70" spans="1:17" ht="15.75">
      <c r="A70" s="119"/>
      <c r="B70" s="119"/>
      <c r="C70" s="85" t="s">
        <v>58</v>
      </c>
      <c r="D70" s="74">
        <f>SUM(D62:D69)</f>
        <v>14573.560000000007</v>
      </c>
      <c r="E70" s="74">
        <f>SUM(E62:E69)</f>
        <v>100072.5</v>
      </c>
      <c r="F70" s="74">
        <f>SUM(F62:F69)</f>
        <v>11101.5</v>
      </c>
      <c r="G70" s="74">
        <f>SUM(G62:G69)</f>
        <v>5819.900000000001</v>
      </c>
      <c r="H70" s="74">
        <f>SUM(H62:H69)</f>
        <v>17250.26999999996</v>
      </c>
      <c r="I70" s="74">
        <f>SUM(I62:I69)</f>
        <v>12093.08000000003</v>
      </c>
      <c r="J70" s="77">
        <f t="shared" si="8"/>
        <v>2676.7099999999537</v>
      </c>
      <c r="K70" s="112">
        <f aca="true" t="shared" si="18" ref="K70:K82">H70-F70</f>
        <v>6148.76999999996</v>
      </c>
      <c r="L70" s="77">
        <f t="shared" si="14"/>
        <v>-82822.23000000004</v>
      </c>
      <c r="M70" s="77">
        <f t="shared" si="15"/>
        <v>6273.18000000003</v>
      </c>
      <c r="N70" s="78">
        <f t="shared" si="16"/>
        <v>1.1836689182327416</v>
      </c>
      <c r="O70" s="78">
        <f t="shared" si="17"/>
        <v>2.0778844997336776</v>
      </c>
      <c r="P70" s="78">
        <f aca="true" t="shared" si="19" ref="P70:P82">_xlfn.IFERROR(H70/F70,"")</f>
        <v>1.5538683961626771</v>
      </c>
      <c r="Q70" s="26">
        <f t="shared" si="13"/>
        <v>0.1723777261485419</v>
      </c>
    </row>
    <row r="71" spans="1:17" s="19" customFormat="1" ht="23.25" customHeight="1">
      <c r="A71" s="164" t="s">
        <v>59</v>
      </c>
      <c r="B71" s="164"/>
      <c r="C71" s="164"/>
      <c r="D71" s="30">
        <f>D5+D21</f>
        <v>1815645.77</v>
      </c>
      <c r="E71" s="30">
        <f>E5+E21</f>
        <v>28731587.9</v>
      </c>
      <c r="F71" s="30">
        <f>F5+F21</f>
        <v>3714960.8</v>
      </c>
      <c r="G71" s="30">
        <f>G5+G21</f>
        <v>2191866.5</v>
      </c>
      <c r="H71" s="30">
        <f>H5+H21</f>
        <v>2236885.3899999997</v>
      </c>
      <c r="I71" s="30">
        <f>I5+I21</f>
        <v>837246.9400000002</v>
      </c>
      <c r="J71" s="31">
        <f t="shared" si="8"/>
        <v>421239.61999999965</v>
      </c>
      <c r="K71" s="104">
        <f t="shared" si="18"/>
        <v>-1478075.4100000001</v>
      </c>
      <c r="L71" s="31">
        <f t="shared" si="14"/>
        <v>-26494702.509999998</v>
      </c>
      <c r="M71" s="31">
        <f t="shared" si="15"/>
        <v>-1354619.5599999998</v>
      </c>
      <c r="N71" s="29">
        <f t="shared" si="16"/>
        <v>1.2320053982776606</v>
      </c>
      <c r="O71" s="29">
        <f t="shared" si="17"/>
        <v>0.3819789845777561</v>
      </c>
      <c r="P71" s="57">
        <f t="shared" si="19"/>
        <v>0.6021289349809559</v>
      </c>
      <c r="Q71" s="29">
        <f t="shared" si="13"/>
        <v>0.07785456890811106</v>
      </c>
    </row>
    <row r="72" spans="1:17" s="50" customFormat="1" ht="28.5" customHeight="1">
      <c r="A72" s="94"/>
      <c r="B72" s="95"/>
      <c r="C72" s="47" t="s">
        <v>60</v>
      </c>
      <c r="D72" s="45">
        <f>SUM(D73:D81)</f>
        <v>1786130.2000000002</v>
      </c>
      <c r="E72" s="45">
        <f>SUM(E73:E81)</f>
        <v>22148004.400000002</v>
      </c>
      <c r="F72" s="45">
        <f>SUM(F73:F81)</f>
        <v>2391037.19</v>
      </c>
      <c r="G72" s="45">
        <f>SUM(G73:G81)</f>
        <v>1747380.46</v>
      </c>
      <c r="H72" s="45">
        <f>SUM(H73:H81)</f>
        <v>2287305.3100000005</v>
      </c>
      <c r="I72" s="45">
        <f>SUM(I73:I81)</f>
        <v>2022735.4999999995</v>
      </c>
      <c r="J72" s="31">
        <f t="shared" si="8"/>
        <v>501175.11000000034</v>
      </c>
      <c r="K72" s="104">
        <f t="shared" si="18"/>
        <v>-103731.87999999942</v>
      </c>
      <c r="L72" s="31">
        <f t="shared" si="14"/>
        <v>-19860699.090000004</v>
      </c>
      <c r="M72" s="31">
        <f t="shared" si="15"/>
        <v>275355.0399999996</v>
      </c>
      <c r="N72" s="29">
        <f t="shared" si="16"/>
        <v>1.28059270819115</v>
      </c>
      <c r="O72" s="29">
        <f t="shared" si="17"/>
        <v>1.1575816179150817</v>
      </c>
      <c r="P72" s="57">
        <f t="shared" si="19"/>
        <v>0.9566163669750367</v>
      </c>
      <c r="Q72" s="29">
        <f t="shared" si="13"/>
        <v>0.10327365250117072</v>
      </c>
    </row>
    <row r="73" spans="1:17" ht="19.5" customHeight="1">
      <c r="A73" s="167"/>
      <c r="B73" s="165"/>
      <c r="C73" s="6" t="s">
        <v>61</v>
      </c>
      <c r="D73" s="33">
        <v>258324</v>
      </c>
      <c r="E73" s="2">
        <v>284166.8</v>
      </c>
      <c r="F73" s="107">
        <v>108345.1</v>
      </c>
      <c r="G73" s="2">
        <v>108345.1</v>
      </c>
      <c r="H73" s="33">
        <v>151433.2</v>
      </c>
      <c r="I73" s="3">
        <v>151433.2</v>
      </c>
      <c r="J73" s="43">
        <f t="shared" si="8"/>
        <v>-106890.79999999999</v>
      </c>
      <c r="K73" s="112">
        <f t="shared" si="18"/>
        <v>43088.100000000006</v>
      </c>
      <c r="L73" s="2">
        <f>H73-E73</f>
        <v>-132733.59999999998</v>
      </c>
      <c r="M73" s="2">
        <f t="shared" si="15"/>
        <v>43088.100000000006</v>
      </c>
      <c r="N73" s="28">
        <f t="shared" si="16"/>
        <v>0.5862142116102259</v>
      </c>
      <c r="O73" s="28">
        <f t="shared" si="17"/>
        <v>1.3976931121019778</v>
      </c>
      <c r="P73" s="78">
        <f t="shared" si="19"/>
        <v>1.3976931121019778</v>
      </c>
      <c r="Q73" s="28">
        <f t="shared" si="13"/>
        <v>0.5329025065560087</v>
      </c>
    </row>
    <row r="74" spans="1:17" ht="18" customHeight="1">
      <c r="A74" s="125"/>
      <c r="B74" s="128"/>
      <c r="C74" s="6" t="s">
        <v>62</v>
      </c>
      <c r="D74" s="33">
        <v>19739.700000000004</v>
      </c>
      <c r="E74" s="2">
        <f>5762918.2</f>
        <v>5762918.2</v>
      </c>
      <c r="F74" s="107">
        <v>66580.97</v>
      </c>
      <c r="G74" s="23">
        <v>59326.47</v>
      </c>
      <c r="H74" s="33">
        <v>66580.97</v>
      </c>
      <c r="I74" s="33">
        <v>59326.47</v>
      </c>
      <c r="J74" s="43">
        <f t="shared" si="8"/>
        <v>46841.27</v>
      </c>
      <c r="K74" s="112">
        <f t="shared" si="18"/>
        <v>0</v>
      </c>
      <c r="L74" s="2">
        <f t="shared" si="14"/>
        <v>-5696337.23</v>
      </c>
      <c r="M74" s="2">
        <f t="shared" si="15"/>
        <v>0</v>
      </c>
      <c r="N74" s="28">
        <f t="shared" si="16"/>
        <v>3.372947410548285</v>
      </c>
      <c r="O74" s="28">
        <f t="shared" si="17"/>
        <v>1</v>
      </c>
      <c r="P74" s="78">
        <f t="shared" si="19"/>
        <v>1</v>
      </c>
      <c r="Q74" s="28">
        <f t="shared" si="13"/>
        <v>0.011553342887983382</v>
      </c>
    </row>
    <row r="75" spans="1:17" ht="18" customHeight="1">
      <c r="A75" s="125"/>
      <c r="B75" s="128"/>
      <c r="C75" s="6" t="s">
        <v>63</v>
      </c>
      <c r="D75" s="33">
        <v>1221386.0900000003</v>
      </c>
      <c r="E75" s="2">
        <v>13564930.3</v>
      </c>
      <c r="F75" s="107">
        <v>1698427.53</v>
      </c>
      <c r="G75" s="23">
        <v>1062025.2999999998</v>
      </c>
      <c r="H75" s="33">
        <v>1698427.53</v>
      </c>
      <c r="I75" s="33">
        <v>1062025.2999999998</v>
      </c>
      <c r="J75" s="43">
        <f t="shared" si="8"/>
        <v>477041.4399999997</v>
      </c>
      <c r="K75" s="112">
        <f t="shared" si="18"/>
        <v>0</v>
      </c>
      <c r="L75" s="2">
        <f t="shared" si="14"/>
        <v>-11866502.770000001</v>
      </c>
      <c r="M75" s="2">
        <f t="shared" si="15"/>
        <v>0</v>
      </c>
      <c r="N75" s="28">
        <f t="shared" si="16"/>
        <v>1.3905738274782542</v>
      </c>
      <c r="O75" s="28">
        <f t="shared" si="17"/>
        <v>1</v>
      </c>
      <c r="P75" s="78">
        <f t="shared" si="19"/>
        <v>1</v>
      </c>
      <c r="Q75" s="28">
        <f t="shared" si="13"/>
        <v>0.12520724341650322</v>
      </c>
    </row>
    <row r="76" spans="1:17" ht="18" customHeight="1">
      <c r="A76" s="125"/>
      <c r="B76" s="128"/>
      <c r="C76" s="84" t="s">
        <v>64</v>
      </c>
      <c r="D76" s="33">
        <v>788682.87</v>
      </c>
      <c r="E76" s="2">
        <f>2535989.1</f>
        <v>2535989.1</v>
      </c>
      <c r="F76" s="107">
        <v>517683.58999999997</v>
      </c>
      <c r="G76" s="2">
        <v>517683.58999999997</v>
      </c>
      <c r="H76" s="33">
        <v>517683.58999999997</v>
      </c>
      <c r="I76" s="33">
        <v>517683.58999999997</v>
      </c>
      <c r="J76" s="43">
        <f t="shared" si="8"/>
        <v>-270999.28</v>
      </c>
      <c r="K76" s="112">
        <f t="shared" si="18"/>
        <v>0</v>
      </c>
      <c r="L76" s="2">
        <f t="shared" si="14"/>
        <v>-2018305.5100000002</v>
      </c>
      <c r="M76" s="2">
        <f t="shared" si="15"/>
        <v>0</v>
      </c>
      <c r="N76" s="28">
        <f t="shared" si="16"/>
        <v>0.6563900519355771</v>
      </c>
      <c r="O76" s="28">
        <f t="shared" si="17"/>
        <v>1</v>
      </c>
      <c r="P76" s="78">
        <f t="shared" si="19"/>
        <v>1</v>
      </c>
      <c r="Q76" s="28">
        <f t="shared" si="13"/>
        <v>0.20413478512190764</v>
      </c>
    </row>
    <row r="77" spans="1:17" s="11" customFormat="1" ht="31.5">
      <c r="A77" s="125"/>
      <c r="B77" s="128"/>
      <c r="C77" s="114" t="s">
        <v>80</v>
      </c>
      <c r="D77" s="33"/>
      <c r="E77" s="2"/>
      <c r="F77" s="107"/>
      <c r="G77" s="2"/>
      <c r="H77" s="33">
        <v>45.15</v>
      </c>
      <c r="I77" s="33">
        <v>20.9</v>
      </c>
      <c r="J77" s="33">
        <f t="shared" si="8"/>
        <v>45.15</v>
      </c>
      <c r="K77" s="115">
        <f t="shared" si="18"/>
        <v>45.15</v>
      </c>
      <c r="L77" s="2">
        <f t="shared" si="14"/>
        <v>45.15</v>
      </c>
      <c r="M77" s="2">
        <f t="shared" si="15"/>
        <v>20.9</v>
      </c>
      <c r="N77" s="28">
        <f t="shared" si="16"/>
      </c>
      <c r="O77" s="28">
        <f t="shared" si="17"/>
      </c>
      <c r="P77" s="116">
        <f t="shared" si="19"/>
      </c>
      <c r="Q77" s="28">
        <f t="shared" si="13"/>
      </c>
    </row>
    <row r="78" spans="1:17" s="11" customFormat="1" ht="21" customHeight="1">
      <c r="A78" s="125"/>
      <c r="B78" s="128"/>
      <c r="C78" s="118" t="s">
        <v>65</v>
      </c>
      <c r="D78" s="33"/>
      <c r="E78" s="2"/>
      <c r="F78" s="107"/>
      <c r="G78" s="2"/>
      <c r="H78" s="33">
        <v>58676.62</v>
      </c>
      <c r="I78" s="33">
        <v>0</v>
      </c>
      <c r="J78" s="33">
        <f t="shared" si="8"/>
        <v>58676.62</v>
      </c>
      <c r="K78" s="115">
        <f t="shared" si="18"/>
        <v>58676.62</v>
      </c>
      <c r="L78" s="2">
        <f t="shared" si="14"/>
        <v>58676.62</v>
      </c>
      <c r="M78" s="2">
        <f t="shared" si="15"/>
        <v>0</v>
      </c>
      <c r="N78" s="28">
        <f t="shared" si="16"/>
      </c>
      <c r="O78" s="28">
        <f t="shared" si="17"/>
      </c>
      <c r="P78" s="116">
        <f t="shared" si="19"/>
      </c>
      <c r="Q78" s="28">
        <f t="shared" si="13"/>
      </c>
    </row>
    <row r="79" spans="1:17" ht="61.5" customHeight="1">
      <c r="A79" s="168"/>
      <c r="B79" s="166"/>
      <c r="C79" s="14" t="s">
        <v>82</v>
      </c>
      <c r="D79" s="49"/>
      <c r="E79" s="22"/>
      <c r="F79" s="109"/>
      <c r="G79" s="22"/>
      <c r="H79" s="101">
        <v>-8014.36</v>
      </c>
      <c r="I79" s="101">
        <v>-8014.36</v>
      </c>
      <c r="J79" s="43">
        <f t="shared" si="8"/>
        <v>-8014.36</v>
      </c>
      <c r="K79" s="112">
        <f t="shared" si="18"/>
        <v>-8014.36</v>
      </c>
      <c r="L79" s="1">
        <f t="shared" si="14"/>
        <v>-8014.36</v>
      </c>
      <c r="M79" s="1">
        <f t="shared" si="15"/>
        <v>-8014.36</v>
      </c>
      <c r="N79" s="25">
        <f t="shared" si="16"/>
      </c>
      <c r="O79" s="25"/>
      <c r="P79" s="57">
        <f t="shared" si="19"/>
      </c>
      <c r="Q79" s="16">
        <f t="shared" si="13"/>
      </c>
    </row>
    <row r="80" spans="1:17" s="11" customFormat="1" ht="34.5" customHeight="1">
      <c r="A80" s="125"/>
      <c r="B80" s="128"/>
      <c r="C80" s="117" t="s">
        <v>66</v>
      </c>
      <c r="D80" s="33">
        <v>172358.72</v>
      </c>
      <c r="E80" s="2"/>
      <c r="F80" s="107"/>
      <c r="G80" s="2"/>
      <c r="H80" s="33">
        <v>157104.39</v>
      </c>
      <c r="I80" s="33">
        <v>-62012.520000000004</v>
      </c>
      <c r="J80" s="33">
        <f t="shared" si="8"/>
        <v>-15254.329999999987</v>
      </c>
      <c r="K80" s="115">
        <f t="shared" si="18"/>
        <v>157104.39</v>
      </c>
      <c r="L80" s="2">
        <f t="shared" si="14"/>
        <v>157104.39</v>
      </c>
      <c r="M80" s="2">
        <f t="shared" si="15"/>
        <v>-62012.520000000004</v>
      </c>
      <c r="N80" s="28">
        <f t="shared" si="16"/>
        <v>0.9114966158950357</v>
      </c>
      <c r="O80" s="28">
        <f>_xlfn.IFERROR(I80/G80,"")</f>
      </c>
      <c r="P80" s="116">
        <f t="shared" si="19"/>
      </c>
      <c r="Q80" s="28">
        <f t="shared" si="13"/>
      </c>
    </row>
    <row r="81" spans="1:17" s="11" customFormat="1" ht="18" customHeight="1">
      <c r="A81" s="147"/>
      <c r="B81" s="145"/>
      <c r="C81" s="117" t="s">
        <v>67</v>
      </c>
      <c r="D81" s="33">
        <v>-674361.18</v>
      </c>
      <c r="E81" s="2"/>
      <c r="F81" s="107"/>
      <c r="G81" s="2"/>
      <c r="H81" s="33">
        <v>-354631.77999999997</v>
      </c>
      <c r="I81" s="33">
        <v>302272.92000000004</v>
      </c>
      <c r="J81" s="33">
        <f t="shared" si="8"/>
        <v>319729.4000000001</v>
      </c>
      <c r="K81" s="115">
        <f t="shared" si="18"/>
        <v>-354631.77999999997</v>
      </c>
      <c r="L81" s="2">
        <f t="shared" si="14"/>
        <v>-354631.77999999997</v>
      </c>
      <c r="M81" s="2">
        <f t="shared" si="15"/>
        <v>302272.92000000004</v>
      </c>
      <c r="N81" s="28">
        <f t="shared" si="16"/>
        <v>0.5258781058541951</v>
      </c>
      <c r="O81" s="28">
        <f>_xlfn.IFERROR(I81/G81,"")</f>
      </c>
      <c r="P81" s="116">
        <f t="shared" si="19"/>
      </c>
      <c r="Q81" s="28">
        <f t="shared" si="13"/>
      </c>
    </row>
    <row r="82" spans="1:17" s="50" customFormat="1" ht="30" customHeight="1">
      <c r="A82" s="161" t="s">
        <v>68</v>
      </c>
      <c r="B82" s="161"/>
      <c r="C82" s="161"/>
      <c r="D82" s="46">
        <f>D71+D72</f>
        <v>3601775.97</v>
      </c>
      <c r="E82" s="46">
        <f>E71+E72</f>
        <v>50879592.3</v>
      </c>
      <c r="F82" s="46">
        <f>F71+F72</f>
        <v>6105997.99</v>
      </c>
      <c r="G82" s="46">
        <f>G71+G72</f>
        <v>3939246.96</v>
      </c>
      <c r="H82" s="46">
        <f>H71+H72</f>
        <v>4524190.7</v>
      </c>
      <c r="I82" s="46">
        <f>I71+I72</f>
        <v>2859982.4399999995</v>
      </c>
      <c r="J82" s="31">
        <f t="shared" si="8"/>
        <v>922414.73</v>
      </c>
      <c r="K82" s="104">
        <f t="shared" si="18"/>
        <v>-1581807.29</v>
      </c>
      <c r="L82" s="48">
        <f t="shared" si="14"/>
        <v>-46355401.599999994</v>
      </c>
      <c r="M82" s="48">
        <f t="shared" si="15"/>
        <v>-1079264.5200000005</v>
      </c>
      <c r="N82" s="29">
        <f t="shared" si="16"/>
        <v>1.2560999733695264</v>
      </c>
      <c r="O82" s="29">
        <f>_xlfn.IFERROR(I82/G82,"")</f>
        <v>0.7260226304775772</v>
      </c>
      <c r="P82" s="57">
        <f t="shared" si="19"/>
        <v>0.7409420552396874</v>
      </c>
      <c r="Q82" s="29">
        <f t="shared" si="13"/>
        <v>0.08891955488409053</v>
      </c>
    </row>
    <row r="83" spans="1:17" ht="15.75">
      <c r="A83" s="7" t="s">
        <v>69</v>
      </c>
      <c r="B83" s="8"/>
      <c r="C83" s="9"/>
      <c r="D83" s="10"/>
      <c r="E83" s="10"/>
      <c r="F83" s="10"/>
      <c r="G83" s="10"/>
      <c r="H83" s="59"/>
      <c r="I83" s="59"/>
      <c r="J83" s="40"/>
      <c r="K83" s="40"/>
      <c r="L83" s="10"/>
      <c r="M83" s="10"/>
      <c r="N83" s="10"/>
      <c r="O83" s="11"/>
      <c r="P83" s="11"/>
      <c r="Q83" s="11"/>
    </row>
    <row r="85" spans="8:11" ht="12.75">
      <c r="H85" s="20"/>
      <c r="I85" s="20"/>
      <c r="J85" s="42"/>
      <c r="K85" s="42"/>
    </row>
    <row r="86" spans="8:11" ht="12.75">
      <c r="H86" s="20"/>
      <c r="I86" s="20"/>
      <c r="J86" s="42"/>
      <c r="K86" s="42"/>
    </row>
    <row r="87" spans="8:11" ht="12.75">
      <c r="H87" s="20"/>
      <c r="I87" s="20"/>
      <c r="J87" s="42"/>
      <c r="K87" s="42"/>
    </row>
    <row r="88" spans="8:11" ht="12.75">
      <c r="H88" s="20"/>
      <c r="I88" s="20"/>
      <c r="J88" s="42"/>
      <c r="K88" s="42"/>
    </row>
    <row r="89" spans="8:11" ht="12.75">
      <c r="H89" s="20"/>
      <c r="I89" s="20"/>
      <c r="J89" s="42"/>
      <c r="K89" s="42"/>
    </row>
  </sheetData>
  <sheetProtection/>
  <autoFilter ref="A4:Q86"/>
  <mergeCells count="36">
    <mergeCell ref="A82:C82"/>
    <mergeCell ref="A62:A70"/>
    <mergeCell ref="B62:B70"/>
    <mergeCell ref="A71:C71"/>
    <mergeCell ref="B73:B81"/>
    <mergeCell ref="A73:A81"/>
    <mergeCell ref="A1:Q1"/>
    <mergeCell ref="A3:A4"/>
    <mergeCell ref="B3:B4"/>
    <mergeCell ref="C3:C4"/>
    <mergeCell ref="E3:G3"/>
    <mergeCell ref="Q3:Q4"/>
    <mergeCell ref="O3:O4"/>
    <mergeCell ref="D3:D4"/>
    <mergeCell ref="N3:N4"/>
    <mergeCell ref="P3:P4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26:A28"/>
    <mergeCell ref="B26:B28"/>
    <mergeCell ref="H3:I3"/>
    <mergeCell ref="L3:M3"/>
    <mergeCell ref="A22:A25"/>
    <mergeCell ref="B22:B25"/>
    <mergeCell ref="A6:A16"/>
    <mergeCell ref="A21:B21"/>
  </mergeCells>
  <printOptions/>
  <pageMargins left="0" right="0" top="0.6692913385826772" bottom="0.1968503937007874" header="0.1968503937007874" footer="0.15748031496062992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2024-02-16T09:06:58Z</cp:lastPrinted>
  <dcterms:created xsi:type="dcterms:W3CDTF">2015-02-26T11:08:47Z</dcterms:created>
  <dcterms:modified xsi:type="dcterms:W3CDTF">2024-02-20T11:24:39Z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