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55" windowHeight="6645" activeTab="0"/>
  </bookViews>
  <sheets>
    <sheet name="26.02.2024" sheetId="1" r:id="rId1"/>
  </sheets>
  <definedNames>
    <definedName name="_xlfn.IFERROR" hidden="1">#NAME?</definedName>
    <definedName name="_xlnm._FilterDatabase" localSheetId="0" hidden="1">'26.02.2024'!$A$4:$R$82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G_S1_D_C1?">#REF!</definedName>
    <definedName name="XDO_?G_S1_D_C2?">#REF!</definedName>
    <definedName name="XDO_?G_S1_D_C3?">#REF!</definedName>
    <definedName name="XDO_?G_S1_D_C4?">#REF!</definedName>
    <definedName name="XDO_?G_S1_D_C5?">#REF!</definedName>
    <definedName name="XDO_?G_S1_D_C6?">#REF!</definedName>
    <definedName name="XDO_?G_S1_D_C7?">#REF!</definedName>
    <definedName name="XDO_?G_S1_F_R4?">#REF!</definedName>
    <definedName name="XDO_?G_S1_F_R5?">#REF!</definedName>
    <definedName name="XDO_?G_S1_F_R6?">#REF!</definedName>
    <definedName name="XDO_?G_S1_GRF_C2?">#REF!</definedName>
    <definedName name="XDO_?G_S1_GRF_C4?">#REF!</definedName>
    <definedName name="XDO_?G_S1_GRF_C5?">#REF!</definedName>
    <definedName name="XDO_?G_S1_GRF_C6?">#REF!</definedName>
    <definedName name="XDO_?G_S2_D_C1?">#REF!</definedName>
    <definedName name="XDO_?G_S2_D_C2?">#REF!</definedName>
    <definedName name="XDO_?G_S2_D_C3?">#REF!</definedName>
    <definedName name="XDO_?G_S2_D_C4?">#REF!</definedName>
    <definedName name="XDO_?G_S2_D_C5?">#REF!</definedName>
    <definedName name="XDO_?G_S2_D_C6?">#REF!</definedName>
    <definedName name="XDO_?G_S2_D_C7?">#REF!</definedName>
    <definedName name="XDO_?G_S2_F_R4?">#REF!</definedName>
    <definedName name="XDO_?G_S2_F_R5?">#REF!</definedName>
    <definedName name="XDO_?G_S2_F_R6?">#REF!</definedName>
    <definedName name="XDO_?G_S2_GRF_C2?">#REF!</definedName>
    <definedName name="XDO_?G_S2_GRF_C4?">#REF!</definedName>
    <definedName name="XDO_?G_S2_GRF_C5?">#REF!</definedName>
    <definedName name="XDO_?G_S2_GRF_C6?">#REF!</definedName>
    <definedName name="XDO_?G_S3_D_C1?">#REF!</definedName>
    <definedName name="XDO_?G_S3_D_C2?">#REF!</definedName>
    <definedName name="XDO_?G_S3_D_C3?">#REF!</definedName>
    <definedName name="XDO_?G_S3_D_C4?">#REF!</definedName>
    <definedName name="XDO_?G_S3_D_C5?">#REF!</definedName>
    <definedName name="XDO_?G_S3_D_C6?">#REF!</definedName>
    <definedName name="XDO_?G_S3_D_C7?">#REF!</definedName>
    <definedName name="XDO_?G_S3_F_R4?">#REF!</definedName>
    <definedName name="XDO_?G_S3_F_R5?">#REF!</definedName>
    <definedName name="XDO_?G_S3_F_R6?">#REF!</definedName>
    <definedName name="XDO_?G_S3_GRF_C2?">#REF!</definedName>
    <definedName name="XDO_?G_S3_GRF_C4?">#REF!</definedName>
    <definedName name="XDO_?G_S3_GRF_C5?">#REF!</definedName>
    <definedName name="XDO_?G_S3_GRF_C6?">#REF!</definedName>
    <definedName name="XDO_?H_BS_UFK?">#REF!</definedName>
    <definedName name="XDO_?H_BUDGET_NAME?">#REF!</definedName>
    <definedName name="XDO_?H_EXECUTOR?">#REF!</definedName>
    <definedName name="XDO_?H_FO_NAME?">#REF!</definedName>
    <definedName name="XDO_?H_LAST_REPORT_DATE?">#REF!</definedName>
    <definedName name="XDO_?H_OKPO?">#REF!</definedName>
    <definedName name="XDO_?H_REPORT_DATE?">#REF!</definedName>
    <definedName name="XDO_?H_REPORT_DATE_TEXT?">#REF!</definedName>
    <definedName name="XDO_?H_REPORT_NUMBER?">#REF!</definedName>
    <definedName name="XDO_?H_TOFK_CODE?">#REF!</definedName>
    <definedName name="XDO_?H_TOFK_NAME?">#REF!</definedName>
    <definedName name="XDO_?OKATO?">#REF!</definedName>
    <definedName name="XDO_?OKPO?">#REF!</definedName>
    <definedName name="XDO_?OPER_SIGNATURE5?">#REF!</definedName>
    <definedName name="XDO_?OPER_SIGNATURE6?">#REF!</definedName>
    <definedName name="XDO_?OPER_SIGNATURE7?">#REF!</definedName>
    <definedName name="XDO_?OPER_SIGNATURE8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XDO_GROUP_?LINE_G_S1_D?">#REF!</definedName>
    <definedName name="XDO_GROUP_?LINE_G_S1_D_B?">#REF!</definedName>
    <definedName name="XDO_GROUP_?LINE_G_S1_GRF?">#REF!</definedName>
    <definedName name="XDO_GROUP_?LINE_G_S2_D?">#REF!</definedName>
    <definedName name="XDO_GROUP_?LINE_G_S2_D_B?">#REF!</definedName>
    <definedName name="XDO_GROUP_?LINE_G_S2_GRF?">#REF!</definedName>
    <definedName name="XDO_GROUP_?LINE_G_S3_D?">#REF!</definedName>
    <definedName name="XDO_GROUP_?LINE_G_S3_D_B?">#REF!</definedName>
    <definedName name="XDO_GROUP_?LINE_G_S3_GRF?">#REF!</definedName>
    <definedName name="XDO_GROUP_?NULL_1?">#REF!</definedName>
    <definedName name="XDO_GROUP_?NULL_10?">#REF!</definedName>
    <definedName name="XDO_GROUP_?NULL_11?">#REF!</definedName>
    <definedName name="XDO_GROUP_?NULL_12?">#REF!</definedName>
    <definedName name="XDO_GROUP_?NULL_3?">#REF!</definedName>
    <definedName name="XDO_GROUP_?NULL_4?">#REF!</definedName>
    <definedName name="XDO_GROUP_?NULL_6?">#REF!</definedName>
    <definedName name="XDO_GROUP_?NULL_7?">#REF!</definedName>
    <definedName name="XDO_GROUP_?NULL_9?">#REF!</definedName>
    <definedName name="_xlnm.Print_Titles" localSheetId="0">'26.02.2024'!$3:$4</definedName>
    <definedName name="о">#REF!</definedName>
    <definedName name="_xlnm.Print_Area" localSheetId="0">'26.02.2024'!$A$1:$R$79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<sst xmlns="http://schemas.openxmlformats.org/spreadsheetml/2006/main" count="191" uniqueCount="164">
  <si>
    <t>тыс. руб.</t>
  </si>
  <si>
    <t>Код адм.</t>
  </si>
  <si>
    <t xml:space="preserve">Администраторы, кураторы доходов    </t>
  </si>
  <si>
    <t>Код вида доходов</t>
  </si>
  <si>
    <t>Вид дохода</t>
  </si>
  <si>
    <t>НАЛОГОВЫЕ ДОХОДЫ</t>
  </si>
  <si>
    <t>УВБ</t>
  </si>
  <si>
    <t>1 03 02000 01 0000 110</t>
  </si>
  <si>
    <t>Акцизы по подакцизным товарам</t>
  </si>
  <si>
    <t>ИТОГО ПО АДМИНИСТРАТОРУ</t>
  </si>
  <si>
    <t>182</t>
  </si>
  <si>
    <t>ДЭиП</t>
  </si>
  <si>
    <t>1 01 02000 01 0000 110</t>
  </si>
  <si>
    <t>НДФЛ</t>
  </si>
  <si>
    <t>1 05 02000 02 0000 110</t>
  </si>
  <si>
    <t>ЕНВД</t>
  </si>
  <si>
    <t>1 05 03000 01 0000 110</t>
  </si>
  <si>
    <t>Единый сельскохозяйственный налог</t>
  </si>
  <si>
    <t>1 05 04000 01 0000 110</t>
  </si>
  <si>
    <t>ДЗО</t>
  </si>
  <si>
    <t>1 06 01020 04 0000 110</t>
  </si>
  <si>
    <t>Налог на имущество физических лиц</t>
  </si>
  <si>
    <t>1 06 06000 00 0000 110</t>
  </si>
  <si>
    <t xml:space="preserve">Земельный налог </t>
  </si>
  <si>
    <t>ДОБ</t>
  </si>
  <si>
    <t>1 08 03010 01 0000 110</t>
  </si>
  <si>
    <t>Государственная пошлина (мировые судьи)</t>
  </si>
  <si>
    <t>1 09 00000 00 0000 000</t>
  </si>
  <si>
    <t>Задолженность по отмененным налогам</t>
  </si>
  <si>
    <t>318</t>
  </si>
  <si>
    <t>ДФ</t>
  </si>
  <si>
    <t>Госпошлина за регистрацию СМИ</t>
  </si>
  <si>
    <t>951</t>
  </si>
  <si>
    <t>944</t>
  </si>
  <si>
    <t>Госпошлина за выдачу спец. разрешения (опасн., тяжеловесн., крупногабар. груз)</t>
  </si>
  <si>
    <t>НЕНАЛОГОВЫЕ ДОХОДЫ</t>
  </si>
  <si>
    <t>Доходы от перечисления части прибыли МУП</t>
  </si>
  <si>
    <t>1 11 09044 04 0000 120</t>
  </si>
  <si>
    <t>Плата по договорам на размещение рекламных конструкций</t>
  </si>
  <si>
    <t>Плата за размещение НТО</t>
  </si>
  <si>
    <t>163</t>
  </si>
  <si>
    <t>ДИО</t>
  </si>
  <si>
    <t>Дивиденды по акциям</t>
  </si>
  <si>
    <t>Доходы от сдачи в аренду имущества казны</t>
  </si>
  <si>
    <t>Прочие поступления от использования имущества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</si>
  <si>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</si>
  <si>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</si>
  <si>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</si>
  <si>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</si>
  <si>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</si>
  <si>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</si>
  <si>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</si>
  <si>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 xml:space="preserve">Доходы от продажи земельных участков, государственная собственность на которые не разграничена 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</si>
  <si>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</si>
  <si>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</si>
  <si>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</si>
  <si>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</si>
  <si>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</si>
  <si>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Штрафы, санкции, возмещение ущерба</t>
  </si>
  <si>
    <t>УЖО</t>
  </si>
  <si>
    <t>Плата за найм</t>
  </si>
  <si>
    <t>915, 048</t>
  </si>
  <si>
    <t>Уэкол.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</si>
  <si>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</si>
  <si>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</si>
  <si>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</si>
  <si>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</si>
  <si>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</si>
  <si>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</si>
  <si>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</si>
  <si>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</si>
  <si>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</si>
  <si>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</si>
  <si>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</si>
  <si>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Прочие безвозмездные поступления в бюджеты городских округов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</si>
  <si>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</si>
  <si>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</si>
  <si>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</si>
  <si>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</si>
  <si>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</si>
  <si>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</si>
  <si>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</si>
  <si>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</si>
  <si>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</si>
  <si>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</si>
  <si>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</si>
  <si>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</si>
  <si>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</si>
  <si>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</si>
  <si>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</si>
  <si>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>Доходы от компенсации затрат государства (лпд 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</si>
  <si>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</si>
  <si>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УСН</t>
  </si>
  <si>
    <t>1 05 01000 01 0000 110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</si>
  <si>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</si>
  <si>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</si>
  <si>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</si>
  <si>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</si>
  <si>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>Инициативные платежи</t>
  </si>
  <si>
    <t>Исполн. плана года</t>
  </si>
  <si>
    <t>Плата за фактическое пользование</t>
  </si>
  <si>
    <t>11705,  11109,  11402</t>
  </si>
  <si>
    <t>Исполн. плана месяца</t>
  </si>
  <si>
    <t>Восстановительная стоимость зеленых насаждений</t>
  </si>
  <si>
    <t>ОТКЛОНЕНИЕ</t>
  </si>
  <si>
    <t>108 07110, 108 02020</t>
  </si>
  <si>
    <t>111 01040 04 0000 120</t>
  </si>
  <si>
    <t>111 05074 04 0000 120</t>
  </si>
  <si>
    <t>111 09044 04 0000 120</t>
  </si>
  <si>
    <t>113 02000 04 0010 130</t>
  </si>
  <si>
    <t>113 02000 04 0015 130</t>
  </si>
  <si>
    <t>113 02000 04 0020 130</t>
  </si>
  <si>
    <t>113 02994 04 0030 130</t>
  </si>
  <si>
    <t>111 07014 04 0000 120</t>
  </si>
  <si>
    <t>112 00000 00 0000 120</t>
  </si>
  <si>
    <t>117 05040 04 3000 180</t>
  </si>
  <si>
    <t>108 07130 01 0000 110</t>
  </si>
  <si>
    <t>108 07173 01 0000 110</t>
  </si>
  <si>
    <t>108 07150 01 0000 110</t>
  </si>
  <si>
    <t>111 05092 04 0000 120</t>
  </si>
  <si>
    <t>116 00000 00 0000 000</t>
  </si>
  <si>
    <t>111 09080 04 1000 120, 117 05040 04 1000 180</t>
  </si>
  <si>
    <t>111 09080 04 2000 120,  117 05040 04 2000 180</t>
  </si>
  <si>
    <t>111 0501204 1020 120,  111 0502404 1020 120</t>
  </si>
  <si>
    <t>111 05024 04 1000 120</t>
  </si>
  <si>
    <t>111 05012 04 1000 120</t>
  </si>
  <si>
    <t>111 05300 00 0000 120</t>
  </si>
  <si>
    <t>111 05400 00 0000 120</t>
  </si>
  <si>
    <t>114 06012 04 0000 430</t>
  </si>
  <si>
    <t>114 06312 04 0000 430</t>
  </si>
  <si>
    <t>117 05040 04 0000 180,  111 09044 04 0000 120</t>
  </si>
  <si>
    <t>111 05000 04 0000 120</t>
  </si>
  <si>
    <t>113 00000 04 0000 130</t>
  </si>
  <si>
    <t>117 01040 04 0000 180</t>
  </si>
  <si>
    <t>117 15020 04 0000 180</t>
  </si>
  <si>
    <t>202 10000 00 0000 000</t>
  </si>
  <si>
    <t>202 20000 00 0000 000</t>
  </si>
  <si>
    <t>202 30000 00 0000 000</t>
  </si>
  <si>
    <t>202 40000 00 0000 000</t>
  </si>
  <si>
    <t>203 04099 04 0 000 150</t>
  </si>
  <si>
    <t>207 04050 04 0000 150</t>
  </si>
  <si>
    <t>208 04000 04 0000 150</t>
  </si>
  <si>
    <t>218 04000 00 0000 000</t>
  </si>
  <si>
    <t>219 04000 00 0000 000</t>
  </si>
  <si>
    <r>
      <t>Оперативный анализ  поступления доходов бюджета города Перми в 2024 году</t>
    </r>
    <r>
      <rPr>
        <sz val="16"/>
        <rFont val="Times New Roman"/>
        <family val="1"/>
      </rPr>
      <t xml:space="preserve"> </t>
    </r>
  </si>
  <si>
    <t xml:space="preserve">ПЛАН на 2024 год </t>
  </si>
  <si>
    <t>ФАКТ 2024 года</t>
  </si>
  <si>
    <t>факта 2024 года от факта 2023 года</t>
  </si>
  <si>
    <t>факта 2024г.                от плана 2024г.</t>
  </si>
  <si>
    <t>% факт 2024г./ факт 2023г.</t>
  </si>
  <si>
    <t>январь-февраль</t>
  </si>
  <si>
    <t>факта отч.пер. от плана отч.пер.</t>
  </si>
  <si>
    <t>февраль</t>
  </si>
  <si>
    <t>Февраль</t>
  </si>
  <si>
    <t>факта за февраль от плана февраля</t>
  </si>
  <si>
    <t>Исполн. плана отч. периода</t>
  </si>
  <si>
    <t>114 13 040 04 0000 410 (114 02043 04 0000 410)</t>
  </si>
  <si>
    <t>114 13 040 04 1000 410 (114 02043 04 1000 410)</t>
  </si>
  <si>
    <t>114 13 040 04 2000 410 (114 02043 04 2000 410)</t>
  </si>
  <si>
    <t>114 13 040 04 3000 410 (114 02043 04 3000 410)</t>
  </si>
  <si>
    <t xml:space="preserve">2024 год    </t>
  </si>
  <si>
    <t>Факт с нач. 2023 года       по 22.02.2023</t>
  </si>
  <si>
    <r>
      <t>с нач. года на 26.02.2024 (по 22.02.2024</t>
    </r>
    <r>
      <rPr>
        <sz val="12"/>
        <rFont val="Times New Roman"/>
        <family val="1"/>
      </rPr>
      <t xml:space="preserve"> вкл.) </t>
    </r>
  </si>
  <si>
    <t xml:space="preserve">Доходы  от приватизации мун. имущества, в т.ч.: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</si>
</sst>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0.000"/>
    <numFmt numFmtId="168" formatCode="0.0"/>
    <numFmt numFmtId="169" formatCode="dd/mm/yyyy\ hh:mm"/>
  </numFmts>
  <fonts count="51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sz val="10"/>
      <color indexed="45"/>
      <name val="Arial Cyr"/>
      <family val="0"/>
    </font>
    <font>
      <sz val="16"/>
      <name val="Times New Roman"/>
      <family val="1"/>
    </font>
    <font>
      <sz val="16"/>
      <color indexed="45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/>
    </xf>
    <xf numFmtId="166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165" fontId="6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wrapText="1"/>
    </xf>
    <xf numFmtId="165" fontId="9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right" wrapText="1"/>
    </xf>
    <xf numFmtId="168" fontId="49" fillId="0" borderId="0" xfId="0" applyNumberFormat="1" applyFont="1" applyFill="1" applyAlignment="1">
      <alignment horizontal="left"/>
    </xf>
    <xf numFmtId="168" fontId="49" fillId="0" borderId="0" xfId="0" applyNumberFormat="1" applyFont="1" applyFill="1" applyAlignment="1">
      <alignment/>
    </xf>
    <xf numFmtId="164" fontId="49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6" fontId="4" fillId="0" borderId="10" xfId="0" applyNumberFormat="1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left"/>
    </xf>
    <xf numFmtId="168" fontId="0" fillId="0" borderId="0" xfId="0" applyNumberFormat="1" applyFont="1" applyFill="1" applyAlignment="1">
      <alignment/>
    </xf>
    <xf numFmtId="0" fontId="13" fillId="0" borderId="1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wrapText="1"/>
    </xf>
    <xf numFmtId="164" fontId="13" fillId="0" borderId="12" xfId="0" applyNumberFormat="1" applyFont="1" applyFill="1" applyBorder="1" applyAlignment="1">
      <alignment horizontal="center" wrapText="1"/>
    </xf>
    <xf numFmtId="168" fontId="13" fillId="0" borderId="12" xfId="0" applyNumberFormat="1" applyFont="1" applyFill="1" applyBorder="1" applyAlignment="1">
      <alignment horizontal="center" wrapText="1"/>
    </xf>
    <xf numFmtId="168" fontId="50" fillId="0" borderId="12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168" fontId="3" fillId="0" borderId="13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vertical="center" wrapText="1"/>
    </xf>
    <xf numFmtId="165" fontId="6" fillId="0" borderId="10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right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49" fontId="10" fillId="0" borderId="11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6" fontId="6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horizontal="left" vertical="top" wrapText="1"/>
    </xf>
    <xf numFmtId="166" fontId="3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166" fontId="6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166" fontId="6" fillId="0" borderId="11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166" fontId="3" fillId="0" borderId="10" xfId="0" applyNumberFormat="1" applyFont="1" applyFill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8" fontId="50" fillId="0" borderId="12" xfId="0" applyNumberFormat="1" applyFont="1" applyFill="1" applyBorder="1" applyAlignment="1">
      <alignment horizontal="center" wrapText="1"/>
    </xf>
    <xf numFmtId="168" fontId="3" fillId="0" borderId="13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164" fontId="3" fillId="0" borderId="10" xfId="0" applyNumberFormat="1" applyFont="1" applyFill="1" applyBorder="1" applyAlignment="1">
      <alignment horizontal="right" wrapText="1"/>
    </xf>
    <xf numFmtId="165" fontId="4" fillId="0" borderId="10" xfId="0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165" fontId="4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166" fontId="4" fillId="0" borderId="10" xfId="0" applyNumberFormat="1" applyFont="1" applyFill="1" applyBorder="1" applyAlignment="1">
      <alignment horizontal="left" vertical="center" wrapText="1"/>
    </xf>
    <xf numFmtId="166" fontId="8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left" vertical="center" wrapText="1"/>
    </xf>
    <xf numFmtId="166" fontId="8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 wrapText="1"/>
    </xf>
    <xf numFmtId="164" fontId="13" fillId="0" borderId="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9" fontId="3" fillId="0" borderId="10" xfId="162" applyFont="1" applyFill="1" applyBorder="1" applyAlignment="1" applyProtection="1">
      <alignment horizontal="center" vertical="top" wrapText="1"/>
      <protection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3" fillId="0" borderId="11" xfId="162" applyFont="1" applyFill="1" applyBorder="1" applyAlignment="1" applyProtection="1">
      <alignment horizontal="center" vertical="top" wrapText="1"/>
      <protection/>
    </xf>
    <xf numFmtId="9" fontId="3" fillId="0" borderId="15" xfId="162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68" fontId="3" fillId="0" borderId="16" xfId="0" applyNumberFormat="1" applyFont="1" applyFill="1" applyBorder="1" applyAlignment="1">
      <alignment horizontal="center" vertical="center" wrapText="1"/>
    </xf>
    <xf numFmtId="168" fontId="3" fillId="0" borderId="17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center" wrapText="1"/>
    </xf>
  </cellXfs>
  <cellStyles count="1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0" xfId="68"/>
    <cellStyle name="Обычный 21" xfId="69"/>
    <cellStyle name="Обычный 22" xfId="70"/>
    <cellStyle name="Обычный 22 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 2" xfId="80"/>
    <cellStyle name="Обычный 3 3" xfId="81"/>
    <cellStyle name="Обычный 30" xfId="82"/>
    <cellStyle name="Обычный 31" xfId="83"/>
    <cellStyle name="Обычный 32" xfId="84"/>
    <cellStyle name="Обычный 33" xfId="85"/>
    <cellStyle name="Обычный 34" xfId="86"/>
    <cellStyle name="Обычный 35" xfId="87"/>
    <cellStyle name="Обычный 36" xfId="88"/>
    <cellStyle name="Обычный 37" xfId="89"/>
    <cellStyle name="Обычный 38" xfId="90"/>
    <cellStyle name="Обычный 39" xfId="91"/>
    <cellStyle name="Обычный 4" xfId="92"/>
    <cellStyle name="Обычный 40" xfId="93"/>
    <cellStyle name="Обычный 41" xfId="94"/>
    <cellStyle name="Обычный 42" xfId="95"/>
    <cellStyle name="Обычный 43" xfId="96"/>
    <cellStyle name="Обычный 44" xfId="97"/>
    <cellStyle name="Обычный 45" xfId="98"/>
    <cellStyle name="Обычный 46" xfId="99"/>
    <cellStyle name="Обычный 47" xfId="100"/>
    <cellStyle name="Обычный 48" xfId="101"/>
    <cellStyle name="Обычный 49" xfId="102"/>
    <cellStyle name="Обычный 5" xfId="103"/>
    <cellStyle name="Обычный 5 2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67" xfId="123"/>
    <cellStyle name="Обычный 68" xfId="124"/>
    <cellStyle name="Обычный 69" xfId="125"/>
    <cellStyle name="Обычный 7" xfId="126"/>
    <cellStyle name="Обычный 70" xfId="127"/>
    <cellStyle name="Обычный 71" xfId="128"/>
    <cellStyle name="Обычный 72" xfId="129"/>
    <cellStyle name="Обычный 73" xfId="130"/>
    <cellStyle name="Обычный 73 2" xfId="131"/>
    <cellStyle name="Обычный 74" xfId="132"/>
    <cellStyle name="Обычный 75" xfId="133"/>
    <cellStyle name="Обычный 76" xfId="134"/>
    <cellStyle name="Обычный 77" xfId="135"/>
    <cellStyle name="Обычный 78" xfId="136"/>
    <cellStyle name="Обычный 79" xfId="137"/>
    <cellStyle name="Обычный 8" xfId="138"/>
    <cellStyle name="Обычный 80" xfId="139"/>
    <cellStyle name="Обычный 81" xfId="140"/>
    <cellStyle name="Обычный 82" xfId="141"/>
    <cellStyle name="Обычный 83" xfId="142"/>
    <cellStyle name="Обычный 84" xfId="143"/>
    <cellStyle name="Обычный 85" xfId="144"/>
    <cellStyle name="Обычный 86" xfId="145"/>
    <cellStyle name="Обычный 87" xfId="146"/>
    <cellStyle name="Обычный 88" xfId="147"/>
    <cellStyle name="Обычный 89" xfId="148"/>
    <cellStyle name="Обычный 9" xfId="149"/>
    <cellStyle name="Обычный 90" xfId="150"/>
    <cellStyle name="Обычный 91" xfId="151"/>
    <cellStyle name="Обычный 92" xfId="152"/>
    <cellStyle name="Обычный 93" xfId="153"/>
    <cellStyle name="Обычный 94" xfId="154"/>
    <cellStyle name="Обычный 95" xfId="155"/>
    <cellStyle name="Обычный 96" xfId="156"/>
    <cellStyle name="Обычный 97" xfId="157"/>
    <cellStyle name="Плохой" xfId="158"/>
    <cellStyle name="Пояснение" xfId="159"/>
    <cellStyle name="Примечание" xfId="160"/>
    <cellStyle name="Percent" xfId="161"/>
    <cellStyle name="Процентный 2" xfId="162"/>
    <cellStyle name="Процентный 2 2" xfId="163"/>
    <cellStyle name="Связанная ячейка" xfId="164"/>
    <cellStyle name="Текст предупреждения" xfId="165"/>
    <cellStyle name="Comma" xfId="166"/>
    <cellStyle name="Comma [0]" xfId="167"/>
    <cellStyle name="Финансовый 2" xfId="168"/>
    <cellStyle name="Финансовый 3" xfId="169"/>
    <cellStyle name="Хороший" xfId="1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tabSelected="1" zoomScale="90" zoomScaleNormal="9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O22" sqref="O22"/>
    </sheetView>
  </sheetViews>
  <sheetFormatPr defaultColWidth="9.00390625" defaultRowHeight="12.75"/>
  <cols>
    <col min="1" max="1" width="8.875" style="14" customWidth="1"/>
    <col min="2" max="2" width="10.75390625" style="14" customWidth="1"/>
    <col min="3" max="3" width="18.25390625" style="29" hidden="1" customWidth="1"/>
    <col min="4" max="4" width="64.375" style="14" customWidth="1"/>
    <col min="5" max="5" width="15.75390625" style="17" customWidth="1"/>
    <col min="6" max="6" width="14.375" style="14" customWidth="1"/>
    <col min="7" max="7" width="13.875" style="14" customWidth="1"/>
    <col min="8" max="8" width="13.875" style="17" bestFit="1" customWidth="1"/>
    <col min="9" max="9" width="14.875" style="63" customWidth="1"/>
    <col min="10" max="10" width="14.125" style="63" customWidth="1"/>
    <col min="11" max="11" width="16.00390625" style="45" customWidth="1"/>
    <col min="12" max="12" width="15.00390625" style="45" customWidth="1"/>
    <col min="13" max="13" width="14.25390625" style="14" customWidth="1"/>
    <col min="14" max="14" width="14.125" style="14" customWidth="1"/>
    <col min="15" max="15" width="11.625" style="14" customWidth="1"/>
    <col min="16" max="17" width="13.375" style="14" customWidth="1"/>
    <col min="18" max="18" width="12.75390625" style="14" customWidth="1"/>
    <col min="19" max="16384" width="9.125" style="14" customWidth="1"/>
  </cols>
  <sheetData>
    <row r="1" spans="1:18" ht="20.25" customHeight="1">
      <c r="A1" s="144" t="s">
        <v>144</v>
      </c>
      <c r="B1" s="144"/>
      <c r="C1" s="145"/>
      <c r="D1" s="144"/>
      <c r="E1" s="146"/>
      <c r="F1" s="144"/>
      <c r="G1" s="144"/>
      <c r="H1" s="146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8" ht="20.25" customHeight="1">
      <c r="A2" s="12"/>
      <c r="B2" s="64"/>
      <c r="C2" s="21"/>
      <c r="D2" s="65"/>
      <c r="E2" s="66"/>
      <c r="F2" s="65"/>
      <c r="G2" s="108"/>
      <c r="H2" s="66"/>
      <c r="I2" s="67"/>
      <c r="J2" s="68"/>
      <c r="K2" s="68"/>
      <c r="L2" s="114"/>
      <c r="M2" s="65"/>
      <c r="N2" s="65"/>
      <c r="O2" s="69"/>
      <c r="P2" s="69"/>
      <c r="Q2" s="69"/>
      <c r="R2" s="11" t="s">
        <v>0</v>
      </c>
    </row>
    <row r="3" spans="1:18" ht="20.25" customHeight="1">
      <c r="A3" s="147" t="s">
        <v>1</v>
      </c>
      <c r="B3" s="130" t="s">
        <v>2</v>
      </c>
      <c r="C3" s="148" t="s">
        <v>3</v>
      </c>
      <c r="D3" s="150" t="s">
        <v>4</v>
      </c>
      <c r="E3" s="157" t="s">
        <v>161</v>
      </c>
      <c r="F3" s="152" t="s">
        <v>145</v>
      </c>
      <c r="G3" s="153"/>
      <c r="H3" s="154"/>
      <c r="I3" s="172" t="s">
        <v>146</v>
      </c>
      <c r="J3" s="173"/>
      <c r="K3" s="70"/>
      <c r="L3" s="115"/>
      <c r="M3" s="174" t="s">
        <v>104</v>
      </c>
      <c r="N3" s="154"/>
      <c r="O3" s="159" t="s">
        <v>149</v>
      </c>
      <c r="P3" s="156" t="s">
        <v>102</v>
      </c>
      <c r="Q3" s="160" t="s">
        <v>155</v>
      </c>
      <c r="R3" s="155" t="s">
        <v>99</v>
      </c>
    </row>
    <row r="4" spans="1:18" ht="61.5" customHeight="1">
      <c r="A4" s="147"/>
      <c r="B4" s="130"/>
      <c r="C4" s="149"/>
      <c r="D4" s="151"/>
      <c r="E4" s="158"/>
      <c r="F4" s="71" t="s">
        <v>160</v>
      </c>
      <c r="G4" s="107" t="s">
        <v>150</v>
      </c>
      <c r="H4" s="71" t="s">
        <v>152</v>
      </c>
      <c r="I4" s="72" t="s">
        <v>162</v>
      </c>
      <c r="J4" s="71" t="s">
        <v>153</v>
      </c>
      <c r="K4" s="73" t="s">
        <v>147</v>
      </c>
      <c r="L4" s="107" t="s">
        <v>151</v>
      </c>
      <c r="M4" s="71" t="s">
        <v>148</v>
      </c>
      <c r="N4" s="71" t="s">
        <v>154</v>
      </c>
      <c r="O4" s="159"/>
      <c r="P4" s="156"/>
      <c r="Q4" s="161"/>
      <c r="R4" s="155"/>
    </row>
    <row r="5" spans="1:18" s="53" customFormat="1" ht="25.5" customHeight="1">
      <c r="A5" s="58"/>
      <c r="B5" s="85"/>
      <c r="C5" s="86"/>
      <c r="D5" s="59" t="s">
        <v>5</v>
      </c>
      <c r="E5" s="49">
        <f>E16+E18+E20+E17+E19</f>
        <v>384752.52999999997</v>
      </c>
      <c r="F5" s="49">
        <f>F16+F18+F20+F17+F19</f>
        <v>21747223.4</v>
      </c>
      <c r="G5" s="49">
        <f>G16+G18+G20+G17+G19</f>
        <v>2751659.4</v>
      </c>
      <c r="H5" s="49">
        <f>H16+H18+H20+H17+H19</f>
        <v>1661698.7000000002</v>
      </c>
      <c r="I5" s="49">
        <f>I16+I18+I20+I17+I19</f>
        <v>1220546.0199999998</v>
      </c>
      <c r="J5" s="49">
        <f>J16+J18+J20+J17+J19</f>
        <v>315623.4</v>
      </c>
      <c r="K5" s="50">
        <f aca="true" t="shared" si="0" ref="K5:K36">I5-E5</f>
        <v>835793.4899999998</v>
      </c>
      <c r="L5" s="109">
        <f>I5-G5</f>
        <v>-1531113.3800000001</v>
      </c>
      <c r="M5" s="50">
        <f>I5-F5</f>
        <v>-20526677.38</v>
      </c>
      <c r="N5" s="50">
        <f>J5-H5</f>
        <v>-1346075.3000000003</v>
      </c>
      <c r="O5" s="60">
        <f>_xlfn.IFERROR(I5/E5,"")</f>
        <v>3.1722884837170526</v>
      </c>
      <c r="P5" s="60">
        <f>_xlfn.IFERROR(J5/H5,"")</f>
        <v>0.1899402099791015</v>
      </c>
      <c r="Q5" s="60">
        <f>_xlfn.IFERROR(I5/G5,"")</f>
        <v>0.44356725981420514</v>
      </c>
      <c r="R5" s="60">
        <f>_xlfn.IFERROR(I5/F5,"")</f>
        <v>0.0561242231962357</v>
      </c>
    </row>
    <row r="6" spans="1:19" ht="18" customHeight="1">
      <c r="A6" s="179" t="s">
        <v>10</v>
      </c>
      <c r="B6" s="54" t="s">
        <v>11</v>
      </c>
      <c r="C6" s="22" t="s">
        <v>12</v>
      </c>
      <c r="D6" s="87" t="s">
        <v>13</v>
      </c>
      <c r="E6" s="38">
        <v>386887.65</v>
      </c>
      <c r="F6" s="38">
        <f>16497200.1</f>
        <v>16497200.1</v>
      </c>
      <c r="G6" s="110">
        <v>1927262.5</v>
      </c>
      <c r="H6" s="38">
        <v>1086299.6</v>
      </c>
      <c r="I6" s="38">
        <v>961843.0699999998</v>
      </c>
      <c r="J6" s="38">
        <v>267452.21</v>
      </c>
      <c r="K6" s="38">
        <f t="shared" si="0"/>
        <v>574955.4199999998</v>
      </c>
      <c r="L6" s="116">
        <f aca="true" t="shared" si="1" ref="L6:L65">I6-G6</f>
        <v>-965419.4300000002</v>
      </c>
      <c r="M6" s="38">
        <f aca="true" t="shared" si="2" ref="M6:M36">I6-F6</f>
        <v>-15535357.03</v>
      </c>
      <c r="N6" s="38">
        <f aca="true" t="shared" si="3" ref="N6:N36">J6-H6</f>
        <v>-818847.3900000001</v>
      </c>
      <c r="O6" s="39">
        <f aca="true" t="shared" si="4" ref="O5:O36">_xlfn.IFERROR(I6/E6,"")</f>
        <v>2.486104350965971</v>
      </c>
      <c r="P6" s="39">
        <f aca="true" t="shared" si="5" ref="P6:P36">_xlfn.IFERROR(J6/H6,"")</f>
        <v>0.24620483152161707</v>
      </c>
      <c r="Q6" s="84">
        <f aca="true" t="shared" si="6" ref="Q6:Q65">_xlfn.IFERROR(I6/G6,"")</f>
        <v>0.4990721658310686</v>
      </c>
      <c r="R6" s="39">
        <f aca="true" t="shared" si="7" ref="R6:R43">_xlfn.IFERROR(I6/F6,"")</f>
        <v>0.0583034129530865</v>
      </c>
      <c r="S6" s="15"/>
    </row>
    <row r="7" spans="1:19" ht="18" customHeight="1">
      <c r="A7" s="141"/>
      <c r="B7" s="54" t="s">
        <v>6</v>
      </c>
      <c r="C7" s="22" t="s">
        <v>7</v>
      </c>
      <c r="D7" s="88" t="s">
        <v>8</v>
      </c>
      <c r="E7" s="38">
        <v>8715.069999999998</v>
      </c>
      <c r="F7" s="40">
        <v>79229.2</v>
      </c>
      <c r="G7" s="111">
        <v>9128.4</v>
      </c>
      <c r="H7" s="40">
        <v>6025</v>
      </c>
      <c r="I7" s="38">
        <v>6808.5</v>
      </c>
      <c r="J7" s="38">
        <v>123.66999999999999</v>
      </c>
      <c r="K7" s="40">
        <f t="shared" si="0"/>
        <v>-1906.569999999998</v>
      </c>
      <c r="L7" s="116">
        <f t="shared" si="1"/>
        <v>-2319.8999999999996</v>
      </c>
      <c r="M7" s="40">
        <f t="shared" si="2"/>
        <v>-72420.7</v>
      </c>
      <c r="N7" s="40">
        <f t="shared" si="3"/>
        <v>-5901.33</v>
      </c>
      <c r="O7" s="39">
        <f t="shared" si="4"/>
        <v>0.7812329677214298</v>
      </c>
      <c r="P7" s="39">
        <f t="shared" si="5"/>
        <v>0.020526141078838173</v>
      </c>
      <c r="Q7" s="84">
        <f t="shared" si="6"/>
        <v>0.7458590771657684</v>
      </c>
      <c r="R7" s="39">
        <f t="shared" si="7"/>
        <v>0.08593422627011253</v>
      </c>
      <c r="S7" s="15"/>
    </row>
    <row r="8" spans="1:19" ht="18" customHeight="1">
      <c r="A8" s="141"/>
      <c r="B8" s="54" t="s">
        <v>11</v>
      </c>
      <c r="C8" s="23" t="s">
        <v>93</v>
      </c>
      <c r="D8" s="89" t="s">
        <v>92</v>
      </c>
      <c r="E8" s="38">
        <v>-3511.5599999999995</v>
      </c>
      <c r="F8" s="37">
        <v>957429</v>
      </c>
      <c r="G8" s="110">
        <v>33329.5</v>
      </c>
      <c r="H8" s="37">
        <v>19148.6</v>
      </c>
      <c r="I8" s="38">
        <v>11575.369999999997</v>
      </c>
      <c r="J8" s="38">
        <v>5956.999999999999</v>
      </c>
      <c r="K8" s="38">
        <f t="shared" si="0"/>
        <v>15086.929999999997</v>
      </c>
      <c r="L8" s="116">
        <f t="shared" si="1"/>
        <v>-21754.130000000005</v>
      </c>
      <c r="M8" s="38">
        <f t="shared" si="2"/>
        <v>-945853.63</v>
      </c>
      <c r="N8" s="38">
        <f t="shared" si="3"/>
        <v>-13191.599999999999</v>
      </c>
      <c r="O8" s="39">
        <f t="shared" si="4"/>
        <v>-3.2963611614211343</v>
      </c>
      <c r="P8" s="39">
        <f t="shared" si="5"/>
        <v>0.3110932391924214</v>
      </c>
      <c r="Q8" s="84">
        <f t="shared" si="6"/>
        <v>0.34730103961955616</v>
      </c>
      <c r="R8" s="39">
        <f t="shared" si="7"/>
        <v>0.012090055763926095</v>
      </c>
      <c r="S8" s="15"/>
    </row>
    <row r="9" spans="1:19" ht="18" customHeight="1">
      <c r="A9" s="141"/>
      <c r="B9" s="54" t="s">
        <v>11</v>
      </c>
      <c r="C9" s="22" t="s">
        <v>14</v>
      </c>
      <c r="D9" s="87" t="s">
        <v>15</v>
      </c>
      <c r="E9" s="38">
        <v>-3962.49</v>
      </c>
      <c r="F9" s="38">
        <v>0</v>
      </c>
      <c r="G9" s="110">
        <v>0</v>
      </c>
      <c r="H9" s="38">
        <v>0</v>
      </c>
      <c r="I9" s="38">
        <v>140</v>
      </c>
      <c r="J9" s="38">
        <v>136.28</v>
      </c>
      <c r="K9" s="38">
        <f t="shared" si="0"/>
        <v>4102.49</v>
      </c>
      <c r="L9" s="116">
        <f t="shared" si="1"/>
        <v>140</v>
      </c>
      <c r="M9" s="38">
        <f t="shared" si="2"/>
        <v>140</v>
      </c>
      <c r="N9" s="38">
        <f t="shared" si="3"/>
        <v>136.28</v>
      </c>
      <c r="O9" s="39">
        <f t="shared" si="4"/>
        <v>-0.035331319448124794</v>
      </c>
      <c r="P9" s="39">
        <f t="shared" si="5"/>
      </c>
      <c r="Q9" s="84">
        <f t="shared" si="6"/>
      </c>
      <c r="R9" s="39">
        <f t="shared" si="7"/>
      </c>
      <c r="S9" s="15"/>
    </row>
    <row r="10" spans="1:19" ht="18" customHeight="1">
      <c r="A10" s="141"/>
      <c r="B10" s="54" t="s">
        <v>11</v>
      </c>
      <c r="C10" s="22" t="s">
        <v>16</v>
      </c>
      <c r="D10" s="87" t="s">
        <v>17</v>
      </c>
      <c r="E10" s="38">
        <v>16.14</v>
      </c>
      <c r="F10" s="38">
        <v>792.3</v>
      </c>
      <c r="G10" s="110">
        <v>10</v>
      </c>
      <c r="H10" s="38">
        <v>10</v>
      </c>
      <c r="I10" s="38">
        <v>44.17</v>
      </c>
      <c r="J10" s="38">
        <v>0</v>
      </c>
      <c r="K10" s="38">
        <f t="shared" si="0"/>
        <v>28.03</v>
      </c>
      <c r="L10" s="116">
        <f t="shared" si="1"/>
        <v>34.17</v>
      </c>
      <c r="M10" s="38">
        <f t="shared" si="2"/>
        <v>-748.13</v>
      </c>
      <c r="N10" s="38">
        <f t="shared" si="3"/>
        <v>-10</v>
      </c>
      <c r="O10" s="39">
        <f t="shared" si="4"/>
        <v>2.7366790582403966</v>
      </c>
      <c r="P10" s="39">
        <f t="shared" si="5"/>
        <v>0</v>
      </c>
      <c r="Q10" s="84">
        <f t="shared" si="6"/>
        <v>4.417</v>
      </c>
      <c r="R10" s="39">
        <f t="shared" si="7"/>
        <v>0.05574908494257226</v>
      </c>
      <c r="S10" s="15"/>
    </row>
    <row r="11" spans="1:19" ht="18" customHeight="1">
      <c r="A11" s="141"/>
      <c r="B11" s="54" t="s">
        <v>11</v>
      </c>
      <c r="C11" s="22" t="s">
        <v>18</v>
      </c>
      <c r="D11" s="87" t="s">
        <v>95</v>
      </c>
      <c r="E11" s="38">
        <v>-42114.03</v>
      </c>
      <c r="F11" s="38">
        <v>354934.4</v>
      </c>
      <c r="G11" s="110">
        <v>189059.3</v>
      </c>
      <c r="H11" s="38">
        <v>2000</v>
      </c>
      <c r="I11" s="38">
        <v>163154.78</v>
      </c>
      <c r="J11" s="38">
        <v>308.28999999999996</v>
      </c>
      <c r="K11" s="38">
        <f t="shared" si="0"/>
        <v>205268.81</v>
      </c>
      <c r="L11" s="116">
        <f t="shared" si="1"/>
        <v>-25904.51999999999</v>
      </c>
      <c r="M11" s="38">
        <f t="shared" si="2"/>
        <v>-191779.62000000002</v>
      </c>
      <c r="N11" s="38">
        <f t="shared" si="3"/>
        <v>-1691.71</v>
      </c>
      <c r="O11" s="39">
        <f t="shared" si="4"/>
        <v>-3.874119384917568</v>
      </c>
      <c r="P11" s="39">
        <f t="shared" si="5"/>
        <v>0.15414499999999998</v>
      </c>
      <c r="Q11" s="84">
        <f t="shared" si="6"/>
        <v>0.8629820379108566</v>
      </c>
      <c r="R11" s="39">
        <f t="shared" si="7"/>
        <v>0.4596758724992562</v>
      </c>
      <c r="S11" s="15"/>
    </row>
    <row r="12" spans="1:19" ht="18" customHeight="1">
      <c r="A12" s="141"/>
      <c r="B12" s="54" t="s">
        <v>19</v>
      </c>
      <c r="C12" s="22" t="s">
        <v>20</v>
      </c>
      <c r="D12" s="87" t="s">
        <v>21</v>
      </c>
      <c r="E12" s="38">
        <v>11687.57</v>
      </c>
      <c r="F12" s="38">
        <v>1250550.2</v>
      </c>
      <c r="G12" s="110">
        <v>40000</v>
      </c>
      <c r="H12" s="38">
        <v>15000</v>
      </c>
      <c r="I12" s="38">
        <v>40297.229999999996</v>
      </c>
      <c r="J12" s="38">
        <v>12205.67</v>
      </c>
      <c r="K12" s="38">
        <f t="shared" si="0"/>
        <v>28609.659999999996</v>
      </c>
      <c r="L12" s="116">
        <f t="shared" si="1"/>
        <v>297.2299999999959</v>
      </c>
      <c r="M12" s="38">
        <f t="shared" si="2"/>
        <v>-1210252.97</v>
      </c>
      <c r="N12" s="38">
        <f t="shared" si="3"/>
        <v>-2794.33</v>
      </c>
      <c r="O12" s="39">
        <f t="shared" si="4"/>
        <v>3.4478706865498983</v>
      </c>
      <c r="P12" s="39">
        <f t="shared" si="5"/>
        <v>0.8137113333333333</v>
      </c>
      <c r="Q12" s="84">
        <f t="shared" si="6"/>
        <v>1.00743075</v>
      </c>
      <c r="R12" s="39">
        <f t="shared" si="7"/>
        <v>0.03222360046002151</v>
      </c>
      <c r="S12" s="15"/>
    </row>
    <row r="13" spans="1:19" ht="18" customHeight="1">
      <c r="A13" s="141"/>
      <c r="B13" s="54" t="s">
        <v>19</v>
      </c>
      <c r="C13" s="22" t="s">
        <v>22</v>
      </c>
      <c r="D13" s="87" t="s">
        <v>23</v>
      </c>
      <c r="E13" s="38">
        <v>4302.49</v>
      </c>
      <c r="F13" s="38">
        <v>2382735.3000000003</v>
      </c>
      <c r="G13" s="110">
        <v>522725</v>
      </c>
      <c r="H13" s="38">
        <v>515123</v>
      </c>
      <c r="I13" s="38">
        <v>7399.41</v>
      </c>
      <c r="J13" s="38">
        <v>13590.500000000002</v>
      </c>
      <c r="K13" s="38">
        <f t="shared" si="0"/>
        <v>3096.92</v>
      </c>
      <c r="L13" s="116">
        <f t="shared" si="1"/>
        <v>-515325.59</v>
      </c>
      <c r="M13" s="38">
        <f t="shared" si="2"/>
        <v>-2375335.89</v>
      </c>
      <c r="N13" s="38">
        <f t="shared" si="3"/>
        <v>-501532.5</v>
      </c>
      <c r="O13" s="39">
        <f t="shared" si="4"/>
        <v>1.7197971407254868</v>
      </c>
      <c r="P13" s="39">
        <f t="shared" si="5"/>
        <v>0.026383019201239317</v>
      </c>
      <c r="Q13" s="84">
        <f t="shared" si="6"/>
        <v>0.014155454588932996</v>
      </c>
      <c r="R13" s="39">
        <f t="shared" si="7"/>
        <v>0.0031054267756892673</v>
      </c>
      <c r="S13" s="15"/>
    </row>
    <row r="14" spans="1:19" ht="18" customHeight="1">
      <c r="A14" s="141"/>
      <c r="B14" s="54" t="s">
        <v>24</v>
      </c>
      <c r="C14" s="22" t="s">
        <v>25</v>
      </c>
      <c r="D14" s="87" t="s">
        <v>26</v>
      </c>
      <c r="E14" s="38">
        <v>22660.170000000002</v>
      </c>
      <c r="F14" s="38">
        <v>223881.6</v>
      </c>
      <c r="G14" s="110">
        <v>30070.4</v>
      </c>
      <c r="H14" s="38">
        <v>18052.9</v>
      </c>
      <c r="I14" s="38">
        <v>29263.089999999997</v>
      </c>
      <c r="J14" s="38">
        <v>15836.779999999999</v>
      </c>
      <c r="K14" s="38">
        <f t="shared" si="0"/>
        <v>6602.919999999995</v>
      </c>
      <c r="L14" s="116">
        <f t="shared" si="1"/>
        <v>-807.310000000005</v>
      </c>
      <c r="M14" s="38">
        <f t="shared" si="2"/>
        <v>-194618.51</v>
      </c>
      <c r="N14" s="38">
        <f t="shared" si="3"/>
        <v>-2216.1200000000026</v>
      </c>
      <c r="O14" s="39">
        <f t="shared" si="4"/>
        <v>1.2913888112931189</v>
      </c>
      <c r="P14" s="39">
        <f t="shared" si="5"/>
        <v>0.8772429914307395</v>
      </c>
      <c r="Q14" s="84">
        <f t="shared" si="6"/>
        <v>0.9731526684048099</v>
      </c>
      <c r="R14" s="39">
        <f t="shared" si="7"/>
        <v>0.1307078830953504</v>
      </c>
      <c r="S14" s="15"/>
    </row>
    <row r="15" spans="1:19" ht="18" customHeight="1">
      <c r="A15" s="141"/>
      <c r="B15" s="54" t="s">
        <v>19</v>
      </c>
      <c r="C15" s="22" t="s">
        <v>27</v>
      </c>
      <c r="D15" s="87" t="s">
        <v>28</v>
      </c>
      <c r="E15" s="38">
        <v>-2.2800000000000002</v>
      </c>
      <c r="F15" s="38">
        <v>0</v>
      </c>
      <c r="G15" s="110"/>
      <c r="H15" s="38">
        <v>0</v>
      </c>
      <c r="I15" s="38">
        <v>0</v>
      </c>
      <c r="J15" s="38">
        <v>0</v>
      </c>
      <c r="K15" s="38">
        <f t="shared" si="0"/>
        <v>2.2800000000000002</v>
      </c>
      <c r="L15" s="116">
        <f t="shared" si="1"/>
        <v>0</v>
      </c>
      <c r="M15" s="38">
        <f t="shared" si="2"/>
        <v>0</v>
      </c>
      <c r="N15" s="38">
        <f t="shared" si="3"/>
        <v>0</v>
      </c>
      <c r="O15" s="39">
        <f t="shared" si="4"/>
        <v>0</v>
      </c>
      <c r="P15" s="39">
        <f t="shared" si="5"/>
      </c>
      <c r="Q15" s="84">
        <f t="shared" si="6"/>
      </c>
      <c r="R15" s="39">
        <f t="shared" si="7"/>
      </c>
      <c r="S15" s="15"/>
    </row>
    <row r="16" spans="1:19" ht="18" customHeight="1">
      <c r="A16" s="176"/>
      <c r="B16" s="74"/>
      <c r="C16" s="75"/>
      <c r="D16" s="90" t="s">
        <v>9</v>
      </c>
      <c r="E16" s="76">
        <f>SUM(E6:E15)</f>
        <v>384678.73</v>
      </c>
      <c r="F16" s="76">
        <f>SUM(F6:F15)</f>
        <v>21746752.099999998</v>
      </c>
      <c r="G16" s="76">
        <f>SUM(G6:G15)</f>
        <v>2751585.0999999996</v>
      </c>
      <c r="H16" s="76">
        <f>SUM(H6:H15)</f>
        <v>1661659.1</v>
      </c>
      <c r="I16" s="76">
        <f>SUM(I6:I15)</f>
        <v>1220525.6199999999</v>
      </c>
      <c r="J16" s="76">
        <f>SUM(J6:J15)</f>
        <v>315610.4</v>
      </c>
      <c r="K16" s="76">
        <f t="shared" si="0"/>
        <v>835846.8899999999</v>
      </c>
      <c r="L16" s="116">
        <f t="shared" si="1"/>
        <v>-1531059.4799999997</v>
      </c>
      <c r="M16" s="76">
        <f t="shared" si="2"/>
        <v>-20526226.479999997</v>
      </c>
      <c r="N16" s="76">
        <f t="shared" si="3"/>
        <v>-1346048.7000000002</v>
      </c>
      <c r="O16" s="77">
        <f t="shared" si="4"/>
        <v>3.1728440509305</v>
      </c>
      <c r="P16" s="77">
        <f t="shared" si="5"/>
        <v>0.1899369130527435</v>
      </c>
      <c r="Q16" s="84">
        <f t="shared" si="6"/>
        <v>0.44357182338282036</v>
      </c>
      <c r="R16" s="77">
        <f t="shared" si="7"/>
        <v>0.056124501460611216</v>
      </c>
      <c r="S16" s="15"/>
    </row>
    <row r="17" spans="1:19" ht="18" customHeight="1">
      <c r="A17" s="55" t="s">
        <v>79</v>
      </c>
      <c r="B17" s="54" t="s">
        <v>30</v>
      </c>
      <c r="C17" s="22" t="s">
        <v>116</v>
      </c>
      <c r="D17" s="87" t="s">
        <v>31</v>
      </c>
      <c r="E17" s="38">
        <v>24</v>
      </c>
      <c r="F17" s="38">
        <v>88</v>
      </c>
      <c r="G17" s="110">
        <v>14.6</v>
      </c>
      <c r="H17" s="38">
        <v>7.3</v>
      </c>
      <c r="I17" s="38">
        <v>4</v>
      </c>
      <c r="J17" s="38">
        <v>4</v>
      </c>
      <c r="K17" s="38">
        <f t="shared" si="0"/>
        <v>-20</v>
      </c>
      <c r="L17" s="116">
        <f t="shared" si="1"/>
        <v>-10.6</v>
      </c>
      <c r="M17" s="38">
        <f t="shared" si="2"/>
        <v>-84</v>
      </c>
      <c r="N17" s="38">
        <f t="shared" si="3"/>
        <v>-3.3</v>
      </c>
      <c r="O17" s="39">
        <f t="shared" si="4"/>
        <v>0.16666666666666666</v>
      </c>
      <c r="P17" s="39">
        <f t="shared" si="5"/>
        <v>0.547945205479452</v>
      </c>
      <c r="Q17" s="84">
        <f t="shared" si="6"/>
        <v>0.273972602739726</v>
      </c>
      <c r="R17" s="39">
        <f t="shared" si="7"/>
        <v>0.045454545454545456</v>
      </c>
      <c r="S17" s="15"/>
    </row>
    <row r="18" spans="1:19" ht="18.75" customHeight="1">
      <c r="A18" s="103" t="s">
        <v>29</v>
      </c>
      <c r="B18" s="104" t="s">
        <v>30</v>
      </c>
      <c r="C18" s="22" t="s">
        <v>105</v>
      </c>
      <c r="D18" s="102" t="s">
        <v>94</v>
      </c>
      <c r="E18" s="38">
        <v>19.2</v>
      </c>
      <c r="F18" s="38">
        <v>328.3</v>
      </c>
      <c r="G18" s="110">
        <v>54.7</v>
      </c>
      <c r="H18" s="38">
        <v>27.3</v>
      </c>
      <c r="I18" s="38">
        <v>6.4</v>
      </c>
      <c r="J18" s="38">
        <v>5.6</v>
      </c>
      <c r="K18" s="38">
        <f t="shared" si="0"/>
        <v>-12.799999999999999</v>
      </c>
      <c r="L18" s="116">
        <f t="shared" si="1"/>
        <v>-48.300000000000004</v>
      </c>
      <c r="M18" s="38">
        <f t="shared" si="2"/>
        <v>-321.90000000000003</v>
      </c>
      <c r="N18" s="38">
        <f t="shared" si="3"/>
        <v>-21.700000000000003</v>
      </c>
      <c r="O18" s="39">
        <f t="shared" si="4"/>
        <v>0.33333333333333337</v>
      </c>
      <c r="P18" s="39">
        <f t="shared" si="5"/>
        <v>0.20512820512820512</v>
      </c>
      <c r="Q18" s="84">
        <f t="shared" si="6"/>
        <v>0.1170018281535649</v>
      </c>
      <c r="R18" s="39">
        <f t="shared" si="7"/>
        <v>0.019494364910143162</v>
      </c>
      <c r="S18" s="15"/>
    </row>
    <row r="19" spans="1:19" ht="35.25" customHeight="1">
      <c r="A19" s="56" t="s">
        <v>33</v>
      </c>
      <c r="B19" s="57" t="s">
        <v>81</v>
      </c>
      <c r="C19" s="22" t="s">
        <v>117</v>
      </c>
      <c r="D19" s="87" t="s">
        <v>34</v>
      </c>
      <c r="E19" s="38">
        <v>25.6</v>
      </c>
      <c r="F19" s="38">
        <v>0</v>
      </c>
      <c r="G19" s="110">
        <v>0</v>
      </c>
      <c r="H19" s="38">
        <v>0</v>
      </c>
      <c r="I19" s="38">
        <v>0</v>
      </c>
      <c r="J19" s="38">
        <v>-1.6</v>
      </c>
      <c r="K19" s="38">
        <f t="shared" si="0"/>
        <v>-25.6</v>
      </c>
      <c r="L19" s="116">
        <f t="shared" si="1"/>
        <v>0</v>
      </c>
      <c r="M19" s="38">
        <f t="shared" si="2"/>
        <v>0</v>
      </c>
      <c r="N19" s="38">
        <f t="shared" si="3"/>
        <v>-1.6</v>
      </c>
      <c r="O19" s="39">
        <f t="shared" si="4"/>
        <v>0</v>
      </c>
      <c r="P19" s="39">
        <f t="shared" si="5"/>
      </c>
      <c r="Q19" s="84">
        <f t="shared" si="6"/>
      </c>
      <c r="R19" s="39">
        <f t="shared" si="7"/>
      </c>
      <c r="S19" s="15"/>
    </row>
    <row r="20" spans="1:19" ht="18" customHeight="1">
      <c r="A20" s="55" t="s">
        <v>32</v>
      </c>
      <c r="B20" s="54" t="s">
        <v>11</v>
      </c>
      <c r="C20" s="22" t="s">
        <v>118</v>
      </c>
      <c r="D20" s="87" t="s">
        <v>83</v>
      </c>
      <c r="E20" s="38">
        <v>5</v>
      </c>
      <c r="F20" s="38">
        <v>55</v>
      </c>
      <c r="G20" s="110">
        <v>5</v>
      </c>
      <c r="H20" s="38">
        <v>5</v>
      </c>
      <c r="I20" s="38">
        <v>10</v>
      </c>
      <c r="J20" s="38">
        <v>5</v>
      </c>
      <c r="K20" s="38">
        <f t="shared" si="0"/>
        <v>5</v>
      </c>
      <c r="L20" s="116">
        <f t="shared" si="1"/>
        <v>5</v>
      </c>
      <c r="M20" s="38">
        <f t="shared" si="2"/>
        <v>-45</v>
      </c>
      <c r="N20" s="38">
        <f t="shared" si="3"/>
        <v>0</v>
      </c>
      <c r="O20" s="39">
        <f t="shared" si="4"/>
        <v>2</v>
      </c>
      <c r="P20" s="39">
        <f t="shared" si="5"/>
        <v>1</v>
      </c>
      <c r="Q20" s="84">
        <f t="shared" si="6"/>
        <v>2</v>
      </c>
      <c r="R20" s="39">
        <f t="shared" si="7"/>
        <v>0.18181818181818182</v>
      </c>
      <c r="S20" s="15"/>
    </row>
    <row r="21" spans="1:19" s="53" customFormat="1" ht="28.5" customHeight="1">
      <c r="A21" s="180"/>
      <c r="B21" s="180"/>
      <c r="C21" s="181"/>
      <c r="D21" s="51" t="s">
        <v>35</v>
      </c>
      <c r="E21" s="50">
        <f>E25+E28+E36+E46+E48+E53+E55+E58+E66</f>
        <v>982606.73</v>
      </c>
      <c r="F21" s="50">
        <f>F25+F28+F36+F46+F48+F53+F55+F58+F66</f>
        <v>6984364.5</v>
      </c>
      <c r="G21" s="50">
        <f>G25+G28+G36+G46+G48+G53+G55+G58+G66</f>
        <v>963301.4</v>
      </c>
      <c r="H21" s="50">
        <f>H25+H28+H36+H46+H48+H53+H55+H58+H66</f>
        <v>530167.8</v>
      </c>
      <c r="I21" s="50">
        <f>I25+I28+I36+I46+I48+I53+I55+I58+I66</f>
        <v>1145735.3300000003</v>
      </c>
      <c r="J21" s="50">
        <f>J25+J28+J36+J46+J48+J53+J55+J58+J66</f>
        <v>651019.4799999999</v>
      </c>
      <c r="K21" s="50">
        <f t="shared" si="0"/>
        <v>163128.60000000033</v>
      </c>
      <c r="L21" s="109">
        <f t="shared" si="1"/>
        <v>182433.93000000028</v>
      </c>
      <c r="M21" s="50">
        <f t="shared" si="2"/>
        <v>-5838629.17</v>
      </c>
      <c r="N21" s="50">
        <f t="shared" si="3"/>
        <v>120851.67999999982</v>
      </c>
      <c r="O21" s="60">
        <f>_xlfn.IFERROR(I21/E21,"")</f>
        <v>1.1660161639641937</v>
      </c>
      <c r="P21" s="60">
        <f t="shared" si="5"/>
        <v>1.2279498679474683</v>
      </c>
      <c r="Q21" s="60">
        <f t="shared" si="6"/>
        <v>1.1893840598591472</v>
      </c>
      <c r="R21" s="60">
        <f t="shared" si="7"/>
        <v>0.16404288894143487</v>
      </c>
      <c r="S21" s="61"/>
    </row>
    <row r="22" spans="1:18" ht="18" customHeight="1">
      <c r="A22" s="175" t="s">
        <v>33</v>
      </c>
      <c r="B22" s="177" t="s">
        <v>81</v>
      </c>
      <c r="C22" s="24" t="s">
        <v>119</v>
      </c>
      <c r="D22" s="18" t="s">
        <v>96</v>
      </c>
      <c r="E22" s="35">
        <v>20725.67</v>
      </c>
      <c r="F22" s="1">
        <v>209447.5</v>
      </c>
      <c r="G22" s="112">
        <v>31798.4</v>
      </c>
      <c r="H22" s="1">
        <v>16899.2</v>
      </c>
      <c r="I22" s="35">
        <v>28901.78</v>
      </c>
      <c r="J22" s="35">
        <v>15161.08</v>
      </c>
      <c r="K22" s="2">
        <f t="shared" si="0"/>
        <v>8176.110000000001</v>
      </c>
      <c r="L22" s="116">
        <f t="shared" si="1"/>
        <v>-2896.6200000000026</v>
      </c>
      <c r="M22" s="2">
        <f t="shared" si="2"/>
        <v>-180545.72</v>
      </c>
      <c r="N22" s="2">
        <f t="shared" si="3"/>
        <v>-1738.1200000000008</v>
      </c>
      <c r="O22" s="13">
        <f t="shared" si="4"/>
        <v>1.3944919512855314</v>
      </c>
      <c r="P22" s="13">
        <f t="shared" si="5"/>
        <v>0.8971477939784132</v>
      </c>
      <c r="Q22" s="84">
        <f t="shared" si="6"/>
        <v>0.9089067374459091</v>
      </c>
      <c r="R22" s="13">
        <f t="shared" si="7"/>
        <v>0.13799057042934387</v>
      </c>
    </row>
    <row r="23" spans="1:18" ht="18" customHeight="1">
      <c r="A23" s="141"/>
      <c r="B23" s="137"/>
      <c r="C23" s="22" t="s">
        <v>113</v>
      </c>
      <c r="D23" s="18" t="s">
        <v>36</v>
      </c>
      <c r="E23" s="35"/>
      <c r="F23" s="1">
        <v>4501.5</v>
      </c>
      <c r="G23" s="112">
        <v>0</v>
      </c>
      <c r="H23" s="1">
        <v>0</v>
      </c>
      <c r="I23" s="35">
        <v>1715</v>
      </c>
      <c r="J23" s="35">
        <v>0</v>
      </c>
      <c r="K23" s="2">
        <f t="shared" si="0"/>
        <v>1715</v>
      </c>
      <c r="L23" s="116">
        <f t="shared" si="1"/>
        <v>1715</v>
      </c>
      <c r="M23" s="2">
        <f t="shared" si="2"/>
        <v>-2786.5</v>
      </c>
      <c r="N23" s="2">
        <f t="shared" si="3"/>
        <v>0</v>
      </c>
      <c r="O23" s="13">
        <f t="shared" si="4"/>
      </c>
      <c r="P23" s="13">
        <f t="shared" si="5"/>
      </c>
      <c r="Q23" s="84">
        <f t="shared" si="6"/>
      </c>
      <c r="R23" s="13">
        <f t="shared" si="7"/>
        <v>0.38098411640564256</v>
      </c>
    </row>
    <row r="24" spans="1:18" ht="18" customHeight="1">
      <c r="A24" s="141"/>
      <c r="B24" s="137"/>
      <c r="C24" s="22" t="s">
        <v>120</v>
      </c>
      <c r="D24" s="18" t="s">
        <v>58</v>
      </c>
      <c r="E24" s="35">
        <v>14333.939999999999</v>
      </c>
      <c r="F24" s="1">
        <v>126183.1</v>
      </c>
      <c r="G24" s="112">
        <v>20464.6</v>
      </c>
      <c r="H24" s="1">
        <v>10294.6</v>
      </c>
      <c r="I24" s="35">
        <v>16840.980000000003</v>
      </c>
      <c r="J24" s="35">
        <v>10253.249999999998</v>
      </c>
      <c r="K24" s="2">
        <f t="shared" si="0"/>
        <v>2507.0400000000045</v>
      </c>
      <c r="L24" s="116">
        <f t="shared" si="1"/>
        <v>-3623.6199999999953</v>
      </c>
      <c r="M24" s="2">
        <f t="shared" si="2"/>
        <v>-109342.12</v>
      </c>
      <c r="N24" s="2">
        <f t="shared" si="3"/>
        <v>-41.35000000000218</v>
      </c>
      <c r="O24" s="13">
        <f t="shared" si="4"/>
        <v>1.1749023645975918</v>
      </c>
      <c r="P24" s="13">
        <f t="shared" si="5"/>
        <v>0.9959833310667726</v>
      </c>
      <c r="Q24" s="84">
        <f t="shared" si="6"/>
        <v>0.8229322830644139</v>
      </c>
      <c r="R24" s="13">
        <f t="shared" si="7"/>
        <v>0.13346462402651388</v>
      </c>
    </row>
    <row r="25" spans="1:18" ht="18" customHeight="1">
      <c r="A25" s="176"/>
      <c r="B25" s="178"/>
      <c r="C25" s="75"/>
      <c r="D25" s="90" t="s">
        <v>9</v>
      </c>
      <c r="E25" s="78">
        <f>SUM(E22:E24)</f>
        <v>35059.61</v>
      </c>
      <c r="F25" s="78">
        <f>SUM(F22:F24)</f>
        <v>340132.1</v>
      </c>
      <c r="G25" s="78">
        <f>SUM(G22:G24)</f>
        <v>52263</v>
      </c>
      <c r="H25" s="78">
        <f>SUM(H22:H24)</f>
        <v>27193.800000000003</v>
      </c>
      <c r="I25" s="78">
        <f>SUM(I22:I24)</f>
        <v>47457.76</v>
      </c>
      <c r="J25" s="78">
        <f>SUM(J22:J24)</f>
        <v>25414.329999999998</v>
      </c>
      <c r="K25" s="78">
        <f t="shared" si="0"/>
        <v>12398.150000000001</v>
      </c>
      <c r="L25" s="116">
        <f t="shared" si="1"/>
        <v>-4805.239999999998</v>
      </c>
      <c r="M25" s="78">
        <f t="shared" si="2"/>
        <v>-292674.33999999997</v>
      </c>
      <c r="N25" s="78">
        <f t="shared" si="3"/>
        <v>-1779.4700000000048</v>
      </c>
      <c r="O25" s="30">
        <f t="shared" si="4"/>
        <v>1.3536305737570955</v>
      </c>
      <c r="P25" s="30">
        <f t="shared" si="5"/>
        <v>0.9345633931263743</v>
      </c>
      <c r="Q25" s="84">
        <f t="shared" si="6"/>
        <v>0.9080565600903125</v>
      </c>
      <c r="R25" s="30">
        <f t="shared" si="7"/>
        <v>0.1395274365459773</v>
      </c>
    </row>
    <row r="26" spans="1:18" ht="23.25" customHeight="1">
      <c r="A26" s="130">
        <v>951</v>
      </c>
      <c r="B26" s="130" t="s">
        <v>11</v>
      </c>
      <c r="C26" s="25" t="s">
        <v>121</v>
      </c>
      <c r="D26" s="105" t="s">
        <v>38</v>
      </c>
      <c r="E26" s="35">
        <v>7124.65</v>
      </c>
      <c r="F26" s="1">
        <v>75335.1</v>
      </c>
      <c r="G26" s="112">
        <v>8391</v>
      </c>
      <c r="H26" s="1">
        <v>6278</v>
      </c>
      <c r="I26" s="35">
        <v>14142.78</v>
      </c>
      <c r="J26" s="35">
        <v>5936.08</v>
      </c>
      <c r="K26" s="1">
        <f t="shared" si="0"/>
        <v>7018.130000000001</v>
      </c>
      <c r="L26" s="116">
        <f t="shared" si="1"/>
        <v>5751.780000000001</v>
      </c>
      <c r="M26" s="1">
        <f t="shared" si="2"/>
        <v>-61192.32000000001</v>
      </c>
      <c r="N26" s="1">
        <f t="shared" si="3"/>
        <v>-341.9200000000001</v>
      </c>
      <c r="O26" s="13">
        <f t="shared" si="4"/>
        <v>1.9850490901307434</v>
      </c>
      <c r="P26" s="13">
        <f t="shared" si="5"/>
        <v>0.9455367951576935</v>
      </c>
      <c r="Q26" s="84">
        <f t="shared" si="6"/>
        <v>1.6854701465856274</v>
      </c>
      <c r="R26" s="13">
        <f t="shared" si="7"/>
        <v>0.18773161514353867</v>
      </c>
    </row>
    <row r="27" spans="1:18" ht="22.5" customHeight="1">
      <c r="A27" s="130"/>
      <c r="B27" s="130"/>
      <c r="C27" s="25" t="s">
        <v>122</v>
      </c>
      <c r="D27" s="106" t="s">
        <v>39</v>
      </c>
      <c r="E27" s="35">
        <v>-493.58</v>
      </c>
      <c r="F27" s="1">
        <v>13384.8</v>
      </c>
      <c r="G27" s="112">
        <v>377.3</v>
      </c>
      <c r="H27" s="1">
        <v>0</v>
      </c>
      <c r="I27" s="35">
        <v>2176.5299999999997</v>
      </c>
      <c r="J27" s="35">
        <v>1294.42</v>
      </c>
      <c r="K27" s="1">
        <f t="shared" si="0"/>
        <v>2670.1099999999997</v>
      </c>
      <c r="L27" s="116">
        <f t="shared" si="1"/>
        <v>1799.2299999999998</v>
      </c>
      <c r="M27" s="1">
        <f t="shared" si="2"/>
        <v>-11208.27</v>
      </c>
      <c r="N27" s="1">
        <f t="shared" si="3"/>
        <v>1294.42</v>
      </c>
      <c r="O27" s="13">
        <f t="shared" si="4"/>
        <v>-4.409680294987641</v>
      </c>
      <c r="P27" s="13">
        <f t="shared" si="5"/>
      </c>
      <c r="Q27" s="84">
        <f t="shared" si="6"/>
        <v>5.768698648290484</v>
      </c>
      <c r="R27" s="13">
        <f t="shared" si="7"/>
        <v>0.16261206741975973</v>
      </c>
    </row>
    <row r="28" spans="1:18" ht="15.75">
      <c r="A28" s="130"/>
      <c r="B28" s="130"/>
      <c r="C28" s="75"/>
      <c r="D28" s="92" t="s">
        <v>9</v>
      </c>
      <c r="E28" s="78">
        <f>E26+E27</f>
        <v>6631.07</v>
      </c>
      <c r="F28" s="78">
        <f>F26+F27</f>
        <v>88719.90000000001</v>
      </c>
      <c r="G28" s="78">
        <f>G26+G27</f>
        <v>8768.3</v>
      </c>
      <c r="H28" s="78">
        <f>H26+H27</f>
        <v>6278</v>
      </c>
      <c r="I28" s="78">
        <f>I26+I27</f>
        <v>16319.310000000001</v>
      </c>
      <c r="J28" s="78">
        <f>J26+J27</f>
        <v>7230.5</v>
      </c>
      <c r="K28" s="78">
        <f t="shared" si="0"/>
        <v>9688.240000000002</v>
      </c>
      <c r="L28" s="116">
        <f t="shared" si="1"/>
        <v>7551.010000000002</v>
      </c>
      <c r="M28" s="78">
        <f t="shared" si="2"/>
        <v>-72400.59000000001</v>
      </c>
      <c r="N28" s="78">
        <f t="shared" si="3"/>
        <v>952.5</v>
      </c>
      <c r="O28" s="30">
        <f t="shared" si="4"/>
        <v>2.4610372081730403</v>
      </c>
      <c r="P28" s="30">
        <f t="shared" si="5"/>
        <v>1.1517202930869703</v>
      </c>
      <c r="Q28" s="84">
        <f t="shared" si="6"/>
        <v>1.861171492763706</v>
      </c>
      <c r="R28" s="30">
        <f t="shared" si="7"/>
        <v>0.1839419341094839</v>
      </c>
    </row>
    <row r="29" spans="1:18" ht="18.75" customHeight="1">
      <c r="A29" s="162" t="s">
        <v>40</v>
      </c>
      <c r="B29" s="130" t="s">
        <v>41</v>
      </c>
      <c r="C29" s="22" t="s">
        <v>106</v>
      </c>
      <c r="D29" s="18" t="s">
        <v>42</v>
      </c>
      <c r="E29" s="35">
        <v>0</v>
      </c>
      <c r="F29" s="1">
        <v>2640</v>
      </c>
      <c r="G29" s="112">
        <v>0</v>
      </c>
      <c r="H29" s="1">
        <v>0</v>
      </c>
      <c r="I29" s="35">
        <v>0</v>
      </c>
      <c r="J29" s="35">
        <v>0</v>
      </c>
      <c r="K29" s="1">
        <f t="shared" si="0"/>
        <v>0</v>
      </c>
      <c r="L29" s="116">
        <f t="shared" si="1"/>
        <v>0</v>
      </c>
      <c r="M29" s="1">
        <f t="shared" si="2"/>
        <v>-2640</v>
      </c>
      <c r="N29" s="1">
        <f t="shared" si="3"/>
        <v>0</v>
      </c>
      <c r="O29" s="13">
        <f t="shared" si="4"/>
      </c>
      <c r="P29" s="13">
        <f t="shared" si="5"/>
      </c>
      <c r="Q29" s="84">
        <f t="shared" si="6"/>
      </c>
      <c r="R29" s="13">
        <f t="shared" si="7"/>
        <v>0</v>
      </c>
    </row>
    <row r="30" spans="1:18" ht="17.25" customHeight="1">
      <c r="A30" s="162"/>
      <c r="B30" s="130"/>
      <c r="C30" s="22" t="s">
        <v>107</v>
      </c>
      <c r="D30" s="93" t="s">
        <v>43</v>
      </c>
      <c r="E30" s="35">
        <v>12927.64</v>
      </c>
      <c r="F30" s="1">
        <v>95135.2</v>
      </c>
      <c r="G30" s="112">
        <v>14500</v>
      </c>
      <c r="H30" s="1">
        <v>8500</v>
      </c>
      <c r="I30" s="35">
        <v>9890.050000000001</v>
      </c>
      <c r="J30" s="35">
        <v>4607.89</v>
      </c>
      <c r="K30" s="1">
        <f t="shared" si="0"/>
        <v>-3037.5899999999983</v>
      </c>
      <c r="L30" s="116">
        <f t="shared" si="1"/>
        <v>-4609.949999999999</v>
      </c>
      <c r="M30" s="1">
        <f t="shared" si="2"/>
        <v>-85245.15</v>
      </c>
      <c r="N30" s="1">
        <f t="shared" si="3"/>
        <v>-3892.1099999999997</v>
      </c>
      <c r="O30" s="13">
        <f t="shared" si="4"/>
        <v>0.7650313591653234</v>
      </c>
      <c r="P30" s="13">
        <f t="shared" si="5"/>
        <v>0.5421047058823529</v>
      </c>
      <c r="Q30" s="84">
        <f t="shared" si="6"/>
        <v>0.6820724137931036</v>
      </c>
      <c r="R30" s="13">
        <f t="shared" si="7"/>
        <v>0.10395784105147203</v>
      </c>
    </row>
    <row r="31" spans="1:18" ht="15.75">
      <c r="A31" s="162"/>
      <c r="B31" s="130"/>
      <c r="C31" s="24" t="s">
        <v>108</v>
      </c>
      <c r="D31" s="91" t="s">
        <v>44</v>
      </c>
      <c r="E31" s="35">
        <v>1762.03</v>
      </c>
      <c r="F31" s="1">
        <v>557</v>
      </c>
      <c r="G31" s="112">
        <v>92.8</v>
      </c>
      <c r="H31" s="1">
        <v>46.4</v>
      </c>
      <c r="I31" s="35">
        <v>273.46</v>
      </c>
      <c r="J31" s="35">
        <v>31.34</v>
      </c>
      <c r="K31" s="1">
        <f t="shared" si="0"/>
        <v>-1488.57</v>
      </c>
      <c r="L31" s="116">
        <f t="shared" si="1"/>
        <v>180.65999999999997</v>
      </c>
      <c r="M31" s="1">
        <f t="shared" si="2"/>
        <v>-283.54</v>
      </c>
      <c r="N31" s="1">
        <f t="shared" si="3"/>
        <v>-15.059999999999999</v>
      </c>
      <c r="O31" s="13">
        <f t="shared" si="4"/>
        <v>0.15519599552788543</v>
      </c>
      <c r="P31" s="13">
        <f t="shared" si="5"/>
        <v>0.6754310344827587</v>
      </c>
      <c r="Q31" s="84">
        <f t="shared" si="6"/>
        <v>2.9467672413793102</v>
      </c>
      <c r="R31" s="13">
        <f t="shared" si="7"/>
        <v>0.49095152603231595</v>
      </c>
    </row>
    <row r="32" spans="1:18" ht="27" customHeight="1">
      <c r="A32" s="162"/>
      <c r="B32" s="130"/>
      <c r="C32" s="25" t="s">
        <v>156</v>
      </c>
      <c r="D32" s="105" t="s">
        <v>163</v>
      </c>
      <c r="E32" s="1">
        <f>E33+E35+E34</f>
        <v>97475.03000000001</v>
      </c>
      <c r="F32" s="1">
        <f>F33+F35+F34</f>
        <v>95061.3</v>
      </c>
      <c r="G32" s="1">
        <f>G33+G35+G34</f>
        <v>7478.4</v>
      </c>
      <c r="H32" s="1">
        <f>H33+H35+H34</f>
        <v>5449.3</v>
      </c>
      <c r="I32" s="1">
        <f>I33+I35+I34</f>
        <v>211075.08000000002</v>
      </c>
      <c r="J32" s="1">
        <f>J33+J35+J34</f>
        <v>173235.53</v>
      </c>
      <c r="K32" s="2">
        <f t="shared" si="0"/>
        <v>113600.05</v>
      </c>
      <c r="L32" s="116">
        <f t="shared" si="1"/>
        <v>203596.68000000002</v>
      </c>
      <c r="M32" s="2">
        <f t="shared" si="2"/>
        <v>116013.78000000001</v>
      </c>
      <c r="N32" s="2">
        <f t="shared" si="3"/>
        <v>167786.23</v>
      </c>
      <c r="O32" s="13">
        <f t="shared" si="4"/>
        <v>2.1654271868395423</v>
      </c>
      <c r="P32" s="13">
        <f t="shared" si="5"/>
        <v>31.79041895289303</v>
      </c>
      <c r="Q32" s="84">
        <f t="shared" si="6"/>
        <v>28.224630937098848</v>
      </c>
      <c r="R32" s="13">
        <f t="shared" si="7"/>
        <v>2.2204101984719333</v>
      </c>
    </row>
    <row r="33" spans="1:18" ht="23.25" customHeight="1">
      <c r="A33" s="162"/>
      <c r="B33" s="130"/>
      <c r="C33" s="25" t="s">
        <v>157</v>
      </c>
      <c r="D33" s="117" t="s">
        <v>45</v>
      </c>
      <c r="E33" s="35">
        <v>91339.07</v>
      </c>
      <c r="F33" s="3">
        <f>57826.6</f>
        <v>57826.6</v>
      </c>
      <c r="G33" s="113">
        <v>3260.4</v>
      </c>
      <c r="H33" s="3">
        <v>3160.6</v>
      </c>
      <c r="I33" s="35">
        <v>207674.48</v>
      </c>
      <c r="J33" s="35">
        <v>171375.88</v>
      </c>
      <c r="K33" s="3">
        <f t="shared" si="0"/>
        <v>116335.41</v>
      </c>
      <c r="L33" s="116">
        <f t="shared" si="1"/>
        <v>204414.08000000002</v>
      </c>
      <c r="M33" s="3">
        <f t="shared" si="2"/>
        <v>149847.88</v>
      </c>
      <c r="N33" s="3">
        <f t="shared" si="3"/>
        <v>168215.28</v>
      </c>
      <c r="O33" s="13">
        <f t="shared" si="4"/>
        <v>2.2736653657629753</v>
      </c>
      <c r="P33" s="13">
        <f t="shared" si="5"/>
        <v>54.2225779915206</v>
      </c>
      <c r="Q33" s="84">
        <f t="shared" si="6"/>
        <v>63.69601275917066</v>
      </c>
      <c r="R33" s="13">
        <f t="shared" si="7"/>
        <v>3.5913313250303496</v>
      </c>
    </row>
    <row r="34" spans="1:18" ht="21" customHeight="1">
      <c r="A34" s="162"/>
      <c r="B34" s="130"/>
      <c r="C34" s="25" t="s">
        <v>158</v>
      </c>
      <c r="D34" s="117" t="s">
        <v>46</v>
      </c>
      <c r="E34" s="35">
        <v>560</v>
      </c>
      <c r="F34" s="3">
        <v>1403.8</v>
      </c>
      <c r="G34" s="113">
        <v>632.1</v>
      </c>
      <c r="H34" s="3">
        <v>632.1</v>
      </c>
      <c r="I34" s="35">
        <v>0</v>
      </c>
      <c r="J34" s="35">
        <v>0</v>
      </c>
      <c r="K34" s="3">
        <f t="shared" si="0"/>
        <v>-560</v>
      </c>
      <c r="L34" s="116">
        <f t="shared" si="1"/>
        <v>-632.1</v>
      </c>
      <c r="M34" s="3">
        <f t="shared" si="2"/>
        <v>-1403.8</v>
      </c>
      <c r="N34" s="3">
        <f t="shared" si="3"/>
        <v>-632.1</v>
      </c>
      <c r="O34" s="13">
        <f t="shared" si="4"/>
        <v>0</v>
      </c>
      <c r="P34" s="13">
        <f t="shared" si="5"/>
        <v>0</v>
      </c>
      <c r="Q34" s="84">
        <f t="shared" si="6"/>
        <v>0</v>
      </c>
      <c r="R34" s="13">
        <f t="shared" si="7"/>
        <v>0</v>
      </c>
    </row>
    <row r="35" spans="1:18" ht="25.5" customHeight="1">
      <c r="A35" s="162"/>
      <c r="B35" s="130"/>
      <c r="C35" s="25" t="s">
        <v>159</v>
      </c>
      <c r="D35" s="117" t="s">
        <v>47</v>
      </c>
      <c r="E35" s="35">
        <v>5575.96</v>
      </c>
      <c r="F35" s="3">
        <v>35830.9</v>
      </c>
      <c r="G35" s="113">
        <v>3585.8999999999996</v>
      </c>
      <c r="H35" s="3">
        <v>1656.6</v>
      </c>
      <c r="I35" s="35">
        <v>3400.6000000000004</v>
      </c>
      <c r="J35" s="35">
        <v>1859.6499999999999</v>
      </c>
      <c r="K35" s="3">
        <f t="shared" si="0"/>
        <v>-2175.3599999999997</v>
      </c>
      <c r="L35" s="116">
        <f t="shared" si="1"/>
        <v>-185.29999999999927</v>
      </c>
      <c r="M35" s="3">
        <f t="shared" si="2"/>
        <v>-32430.300000000003</v>
      </c>
      <c r="N35" s="3">
        <f t="shared" si="3"/>
        <v>203.04999999999995</v>
      </c>
      <c r="O35" s="13">
        <f t="shared" si="4"/>
        <v>0.609868076528526</v>
      </c>
      <c r="P35" s="13">
        <f t="shared" si="5"/>
        <v>1.1225703247615597</v>
      </c>
      <c r="Q35" s="84">
        <f t="shared" si="6"/>
        <v>0.948325385537801</v>
      </c>
      <c r="R35" s="13">
        <f t="shared" si="7"/>
        <v>0.09490690995760644</v>
      </c>
    </row>
    <row r="36" spans="1:18" ht="15.75">
      <c r="A36" s="162"/>
      <c r="B36" s="162"/>
      <c r="C36" s="75"/>
      <c r="D36" s="92" t="s">
        <v>9</v>
      </c>
      <c r="E36" s="78">
        <f>SUM(E29:E32)</f>
        <v>112164.70000000001</v>
      </c>
      <c r="F36" s="78">
        <f>SUM(F29:F32)</f>
        <v>193393.5</v>
      </c>
      <c r="G36" s="78">
        <f>SUM(G29:G32)</f>
        <v>22071.199999999997</v>
      </c>
      <c r="H36" s="78">
        <f>SUM(H29:H32)</f>
        <v>13995.7</v>
      </c>
      <c r="I36" s="78">
        <f>SUM(I29:I32)</f>
        <v>221238.59000000003</v>
      </c>
      <c r="J36" s="78">
        <f>SUM(J29:J32)</f>
        <v>177874.76</v>
      </c>
      <c r="K36" s="78">
        <f t="shared" si="0"/>
        <v>109073.89000000001</v>
      </c>
      <c r="L36" s="116">
        <f t="shared" si="1"/>
        <v>199167.39</v>
      </c>
      <c r="M36" s="78">
        <f t="shared" si="2"/>
        <v>27845.090000000026</v>
      </c>
      <c r="N36" s="78">
        <f t="shared" si="3"/>
        <v>163879.06</v>
      </c>
      <c r="O36" s="30">
        <f t="shared" si="4"/>
        <v>1.972444004218796</v>
      </c>
      <c r="P36" s="30">
        <f t="shared" si="5"/>
        <v>12.709243553377108</v>
      </c>
      <c r="Q36" s="84">
        <f t="shared" si="6"/>
        <v>10.023858693682268</v>
      </c>
      <c r="R36" s="30">
        <f t="shared" si="7"/>
        <v>1.1439815195443488</v>
      </c>
    </row>
    <row r="37" spans="1:18" ht="31.5">
      <c r="A37" s="162" t="s">
        <v>80</v>
      </c>
      <c r="B37" s="130" t="s">
        <v>19</v>
      </c>
      <c r="C37" s="24" t="s">
        <v>125</v>
      </c>
      <c r="D37" s="91" t="s">
        <v>49</v>
      </c>
      <c r="E37" s="35">
        <v>63961.88</v>
      </c>
      <c r="F37" s="1">
        <v>280952</v>
      </c>
      <c r="G37" s="112">
        <v>53000</v>
      </c>
      <c r="H37" s="1">
        <v>43800</v>
      </c>
      <c r="I37" s="35">
        <v>71190.87999999999</v>
      </c>
      <c r="J37" s="35">
        <v>56032.38</v>
      </c>
      <c r="K37" s="2">
        <f aca="true" t="shared" si="8" ref="K37:K78">I37-E37</f>
        <v>7228.999999999993</v>
      </c>
      <c r="L37" s="116">
        <f t="shared" si="1"/>
        <v>18190.87999999999</v>
      </c>
      <c r="M37" s="2">
        <f aca="true" t="shared" si="9" ref="M37:M64">I37-F37</f>
        <v>-209761.12</v>
      </c>
      <c r="N37" s="2">
        <f aca="true" t="shared" si="10" ref="N37:N64">J37-H37</f>
        <v>12232.379999999997</v>
      </c>
      <c r="O37" s="13">
        <f aca="true" t="shared" si="11" ref="O37:O64">_xlfn.IFERROR(I37/E37,"")</f>
        <v>1.1130204428012433</v>
      </c>
      <c r="P37" s="13">
        <f aca="true" t="shared" si="12" ref="P37:P64">_xlfn.IFERROR(J37/H37,"")</f>
        <v>1.2792780821917809</v>
      </c>
      <c r="Q37" s="84">
        <f t="shared" si="6"/>
        <v>1.343224150943396</v>
      </c>
      <c r="R37" s="13">
        <f t="shared" si="7"/>
        <v>0.25339161137845606</v>
      </c>
    </row>
    <row r="38" spans="1:18" ht="18.75" customHeight="1">
      <c r="A38" s="162"/>
      <c r="B38" s="130"/>
      <c r="C38" s="25" t="s">
        <v>123</v>
      </c>
      <c r="D38" s="91" t="s">
        <v>50</v>
      </c>
      <c r="E38" s="35">
        <v>24329.94</v>
      </c>
      <c r="F38" s="1">
        <v>234039.3</v>
      </c>
      <c r="G38" s="112">
        <v>21100</v>
      </c>
      <c r="H38" s="1">
        <v>21100</v>
      </c>
      <c r="I38" s="35">
        <v>20851.07</v>
      </c>
      <c r="J38" s="35">
        <v>22851.760000000002</v>
      </c>
      <c r="K38" s="2">
        <f t="shared" si="8"/>
        <v>-3478.869999999999</v>
      </c>
      <c r="L38" s="116">
        <f t="shared" si="1"/>
        <v>-248.9300000000003</v>
      </c>
      <c r="M38" s="2">
        <f t="shared" si="9"/>
        <v>-213188.22999999998</v>
      </c>
      <c r="N38" s="2">
        <f t="shared" si="10"/>
        <v>1751.760000000002</v>
      </c>
      <c r="O38" s="13">
        <f t="shared" si="11"/>
        <v>0.8570127998671596</v>
      </c>
      <c r="P38" s="13">
        <f t="shared" si="12"/>
        <v>1.0830218009478674</v>
      </c>
      <c r="Q38" s="84">
        <f t="shared" si="6"/>
        <v>0.9882023696682465</v>
      </c>
      <c r="R38" s="13">
        <f t="shared" si="7"/>
        <v>0.08909217383576178</v>
      </c>
    </row>
    <row r="39" spans="1:18" ht="31.5">
      <c r="A39" s="162"/>
      <c r="B39" s="130"/>
      <c r="C39" s="22" t="s">
        <v>124</v>
      </c>
      <c r="D39" s="18" t="s">
        <v>51</v>
      </c>
      <c r="E39" s="35">
        <v>6578.09</v>
      </c>
      <c r="F39" s="1">
        <v>42797.9</v>
      </c>
      <c r="G39" s="112">
        <v>5980</v>
      </c>
      <c r="H39" s="1">
        <v>5650</v>
      </c>
      <c r="I39" s="35">
        <v>8355.54</v>
      </c>
      <c r="J39" s="35">
        <v>7445.44</v>
      </c>
      <c r="K39" s="1">
        <f t="shared" si="8"/>
        <v>1777.4500000000007</v>
      </c>
      <c r="L39" s="116">
        <f t="shared" si="1"/>
        <v>2375.540000000001</v>
      </c>
      <c r="M39" s="1">
        <f t="shared" si="9"/>
        <v>-34442.36</v>
      </c>
      <c r="N39" s="1">
        <f t="shared" si="10"/>
        <v>1795.4399999999996</v>
      </c>
      <c r="O39" s="13">
        <f t="shared" si="11"/>
        <v>1.2702076134561857</v>
      </c>
      <c r="P39" s="13">
        <f t="shared" si="12"/>
        <v>1.3177769911504424</v>
      </c>
      <c r="Q39" s="84">
        <f t="shared" si="6"/>
        <v>1.397247491638796</v>
      </c>
      <c r="R39" s="13">
        <f t="shared" si="7"/>
        <v>0.1952324763598214</v>
      </c>
    </row>
    <row r="40" spans="1:18" ht="18.75" customHeight="1">
      <c r="A40" s="165"/>
      <c r="B40" s="131"/>
      <c r="C40" s="26" t="s">
        <v>126</v>
      </c>
      <c r="D40" s="94" t="s">
        <v>84</v>
      </c>
      <c r="E40" s="35">
        <v>1381.19</v>
      </c>
      <c r="F40" s="1">
        <v>3022.8</v>
      </c>
      <c r="G40" s="1">
        <v>0</v>
      </c>
      <c r="H40" s="1">
        <v>0</v>
      </c>
      <c r="I40" s="35">
        <v>1995.8400000000001</v>
      </c>
      <c r="J40" s="35">
        <v>1703.72</v>
      </c>
      <c r="K40" s="1">
        <f t="shared" si="8"/>
        <v>614.6500000000001</v>
      </c>
      <c r="L40" s="116">
        <f t="shared" si="1"/>
        <v>1995.8400000000001</v>
      </c>
      <c r="M40" s="1">
        <f t="shared" si="9"/>
        <v>-1026.96</v>
      </c>
      <c r="N40" s="1">
        <f t="shared" si="10"/>
        <v>1703.72</v>
      </c>
      <c r="O40" s="13">
        <f t="shared" si="11"/>
        <v>1.4450148060730241</v>
      </c>
      <c r="P40" s="13">
        <f t="shared" si="12"/>
      </c>
      <c r="Q40" s="84">
        <f t="shared" si="6"/>
      </c>
      <c r="R40" s="13">
        <f t="shared" si="7"/>
        <v>0.6602620087336245</v>
      </c>
    </row>
    <row r="41" spans="1:18" ht="18" customHeight="1">
      <c r="A41" s="166"/>
      <c r="B41" s="168"/>
      <c r="C41" s="27" t="s">
        <v>127</v>
      </c>
      <c r="D41" s="95" t="s">
        <v>88</v>
      </c>
      <c r="E41" s="35">
        <v>10.63</v>
      </c>
      <c r="F41" s="1">
        <v>0</v>
      </c>
      <c r="G41" s="1">
        <v>0</v>
      </c>
      <c r="H41" s="1">
        <v>0</v>
      </c>
      <c r="I41" s="35">
        <v>5.74</v>
      </c>
      <c r="J41" s="35">
        <v>2.03</v>
      </c>
      <c r="K41" s="1">
        <f t="shared" si="8"/>
        <v>-4.890000000000001</v>
      </c>
      <c r="L41" s="116">
        <f t="shared" si="1"/>
        <v>5.74</v>
      </c>
      <c r="M41" s="1">
        <f t="shared" si="9"/>
        <v>5.74</v>
      </c>
      <c r="N41" s="1">
        <f t="shared" si="10"/>
        <v>2.03</v>
      </c>
      <c r="O41" s="13">
        <f t="shared" si="11"/>
        <v>0.5399811853245531</v>
      </c>
      <c r="P41" s="13">
        <f t="shared" si="12"/>
      </c>
      <c r="Q41" s="84">
        <f t="shared" si="6"/>
      </c>
      <c r="R41" s="13">
        <f t="shared" si="7"/>
      </c>
    </row>
    <row r="42" spans="1:18" ht="31.5">
      <c r="A42" s="162"/>
      <c r="B42" s="130"/>
      <c r="C42" s="24" t="s">
        <v>128</v>
      </c>
      <c r="D42" s="91" t="s">
        <v>52</v>
      </c>
      <c r="E42" s="35">
        <v>41057.2</v>
      </c>
      <c r="F42" s="1">
        <f>150270.7</f>
        <v>150270.7</v>
      </c>
      <c r="G42" s="112">
        <v>11330</v>
      </c>
      <c r="H42" s="1">
        <v>10700</v>
      </c>
      <c r="I42" s="35">
        <v>21276.94</v>
      </c>
      <c r="J42" s="35">
        <v>12283.09</v>
      </c>
      <c r="K42" s="1">
        <f t="shared" si="8"/>
        <v>-19780.26</v>
      </c>
      <c r="L42" s="116">
        <f t="shared" si="1"/>
        <v>9946.939999999999</v>
      </c>
      <c r="M42" s="1">
        <f t="shared" si="9"/>
        <v>-128993.76000000001</v>
      </c>
      <c r="N42" s="1">
        <f t="shared" si="10"/>
        <v>1583.0900000000001</v>
      </c>
      <c r="O42" s="13">
        <f t="shared" si="11"/>
        <v>0.5182267665598239</v>
      </c>
      <c r="P42" s="13">
        <f t="shared" si="12"/>
        <v>1.1479523364485982</v>
      </c>
      <c r="Q42" s="84">
        <f t="shared" si="6"/>
        <v>1.877929390997352</v>
      </c>
      <c r="R42" s="13">
        <f t="shared" si="7"/>
        <v>0.14159074257323614</v>
      </c>
    </row>
    <row r="43" spans="1:18" ht="34.5" customHeight="1">
      <c r="A43" s="162"/>
      <c r="B43" s="130"/>
      <c r="C43" s="24" t="s">
        <v>129</v>
      </c>
      <c r="D43" s="91" t="s">
        <v>53</v>
      </c>
      <c r="E43" s="35">
        <v>12700.27</v>
      </c>
      <c r="F43" s="1">
        <v>82177</v>
      </c>
      <c r="G43" s="112">
        <v>5800</v>
      </c>
      <c r="H43" s="1">
        <v>4000</v>
      </c>
      <c r="I43" s="35">
        <v>13077.41</v>
      </c>
      <c r="J43" s="35">
        <v>771.5600000000001</v>
      </c>
      <c r="K43" s="1">
        <f t="shared" si="8"/>
        <v>377.1399999999994</v>
      </c>
      <c r="L43" s="116">
        <f t="shared" si="1"/>
        <v>7277.41</v>
      </c>
      <c r="M43" s="1">
        <f t="shared" si="9"/>
        <v>-69099.59</v>
      </c>
      <c r="N43" s="1">
        <f t="shared" si="10"/>
        <v>-3228.44</v>
      </c>
      <c r="O43" s="13">
        <f t="shared" si="11"/>
        <v>1.0296954316719251</v>
      </c>
      <c r="P43" s="13">
        <f t="shared" si="12"/>
        <v>0.19289</v>
      </c>
      <c r="Q43" s="84">
        <f t="shared" si="6"/>
        <v>2.2547258620689656</v>
      </c>
      <c r="R43" s="13">
        <f t="shared" si="7"/>
        <v>0.15913710648965038</v>
      </c>
    </row>
    <row r="44" spans="1:18" ht="18" customHeight="1">
      <c r="A44" s="167"/>
      <c r="B44" s="155"/>
      <c r="C44" s="22" t="s">
        <v>120</v>
      </c>
      <c r="D44" s="18" t="s">
        <v>58</v>
      </c>
      <c r="E44" s="35">
        <v>1513.4</v>
      </c>
      <c r="F44" s="20">
        <v>8857.5</v>
      </c>
      <c r="G44" s="112">
        <v>0</v>
      </c>
      <c r="H44" s="20">
        <v>0</v>
      </c>
      <c r="I44" s="35">
        <v>2612.57</v>
      </c>
      <c r="J44" s="35">
        <v>1894.47</v>
      </c>
      <c r="K44" s="1">
        <f t="shared" si="8"/>
        <v>1099.17</v>
      </c>
      <c r="L44" s="116">
        <f t="shared" si="1"/>
        <v>2612.57</v>
      </c>
      <c r="M44" s="1">
        <f t="shared" si="9"/>
        <v>-6244.93</v>
      </c>
      <c r="N44" s="1">
        <f t="shared" si="10"/>
        <v>1894.47</v>
      </c>
      <c r="O44" s="13">
        <f t="shared" si="11"/>
        <v>1.72629179331307</v>
      </c>
      <c r="P44" s="13">
        <f t="shared" si="12"/>
      </c>
      <c r="Q44" s="84">
        <f t="shared" si="6"/>
      </c>
      <c r="R44" s="13">
        <f aca="true" t="shared" si="13" ref="R44:R78">_xlfn.IFERROR(I44/F44,"")</f>
        <v>0.2949556872706746</v>
      </c>
    </row>
    <row r="45" spans="1:18" ht="18.75" customHeight="1">
      <c r="A45" s="167"/>
      <c r="B45" s="155"/>
      <c r="C45" s="22" t="s">
        <v>130</v>
      </c>
      <c r="D45" s="18" t="s">
        <v>100</v>
      </c>
      <c r="E45" s="35">
        <v>4148.05</v>
      </c>
      <c r="F45" s="20">
        <v>46764</v>
      </c>
      <c r="G45" s="112">
        <v>7792</v>
      </c>
      <c r="H45" s="20">
        <v>3896</v>
      </c>
      <c r="I45" s="35">
        <v>7556.18</v>
      </c>
      <c r="J45" s="35">
        <v>3891.24</v>
      </c>
      <c r="K45" s="1">
        <f t="shared" si="8"/>
        <v>3408.13</v>
      </c>
      <c r="L45" s="116">
        <f t="shared" si="1"/>
        <v>-235.8199999999997</v>
      </c>
      <c r="M45" s="1">
        <f t="shared" si="9"/>
        <v>-39207.82</v>
      </c>
      <c r="N45" s="1">
        <f t="shared" si="10"/>
        <v>-4.760000000000218</v>
      </c>
      <c r="O45" s="13">
        <f t="shared" si="11"/>
        <v>1.8216222080254578</v>
      </c>
      <c r="P45" s="13">
        <f t="shared" si="12"/>
        <v>0.9987782340862422</v>
      </c>
      <c r="Q45" s="84">
        <f t="shared" si="6"/>
        <v>0.9697356262833676</v>
      </c>
      <c r="R45" s="13">
        <f t="shared" si="13"/>
        <v>0.16158113078436404</v>
      </c>
    </row>
    <row r="46" spans="1:18" ht="18" customHeight="1">
      <c r="A46" s="162"/>
      <c r="B46" s="162"/>
      <c r="C46" s="79"/>
      <c r="D46" s="92" t="s">
        <v>9</v>
      </c>
      <c r="E46" s="78">
        <f>SUM(E37:E45)</f>
        <v>155680.64999999997</v>
      </c>
      <c r="F46" s="78">
        <f>SUM(F37:F45)</f>
        <v>848881.2</v>
      </c>
      <c r="G46" s="78">
        <f>SUM(G37:G45)</f>
        <v>105002</v>
      </c>
      <c r="H46" s="78">
        <f>SUM(H37:H45)</f>
        <v>89146</v>
      </c>
      <c r="I46" s="78">
        <f>SUM(I37:I45)</f>
        <v>146922.16999999998</v>
      </c>
      <c r="J46" s="78">
        <f>SUM(J37:J45)</f>
        <v>106875.69</v>
      </c>
      <c r="K46" s="78">
        <f t="shared" si="8"/>
        <v>-8758.479999999981</v>
      </c>
      <c r="L46" s="116">
        <f t="shared" si="1"/>
        <v>41920.169999999984</v>
      </c>
      <c r="M46" s="78">
        <f t="shared" si="9"/>
        <v>-701959.03</v>
      </c>
      <c r="N46" s="78">
        <f t="shared" si="10"/>
        <v>17729.690000000002</v>
      </c>
      <c r="O46" s="13">
        <f t="shared" si="11"/>
        <v>0.9437407282150995</v>
      </c>
      <c r="P46" s="13">
        <f t="shared" si="12"/>
        <v>1.1988837412783524</v>
      </c>
      <c r="Q46" s="84">
        <f t="shared" si="6"/>
        <v>1.399232109864574</v>
      </c>
      <c r="R46" s="13">
        <f t="shared" si="13"/>
        <v>0.17307742237665294</v>
      </c>
    </row>
    <row r="47" spans="1:18" ht="18" customHeight="1">
      <c r="A47" s="162" t="s">
        <v>54</v>
      </c>
      <c r="B47" s="130" t="s">
        <v>55</v>
      </c>
      <c r="C47" s="22" t="s">
        <v>113</v>
      </c>
      <c r="D47" s="18" t="s">
        <v>36</v>
      </c>
      <c r="E47" s="47">
        <v>0</v>
      </c>
      <c r="F47" s="1">
        <v>123</v>
      </c>
      <c r="G47" s="112">
        <v>0</v>
      </c>
      <c r="H47" s="1">
        <v>0</v>
      </c>
      <c r="I47" s="47">
        <v>0</v>
      </c>
      <c r="J47" s="47">
        <v>0</v>
      </c>
      <c r="K47" s="2">
        <f t="shared" si="8"/>
        <v>0</v>
      </c>
      <c r="L47" s="116">
        <f t="shared" si="1"/>
        <v>0</v>
      </c>
      <c r="M47" s="2">
        <f t="shared" si="9"/>
        <v>-123</v>
      </c>
      <c r="N47" s="2">
        <f t="shared" si="10"/>
        <v>0</v>
      </c>
      <c r="O47" s="13">
        <f t="shared" si="11"/>
      </c>
      <c r="P47" s="13">
        <f t="shared" si="12"/>
      </c>
      <c r="Q47" s="84">
        <f t="shared" si="6"/>
      </c>
      <c r="R47" s="13">
        <f t="shared" si="13"/>
        <v>0</v>
      </c>
    </row>
    <row r="48" spans="1:18" ht="18" customHeight="1">
      <c r="A48" s="162"/>
      <c r="B48" s="130"/>
      <c r="C48" s="79"/>
      <c r="D48" s="96" t="s">
        <v>9</v>
      </c>
      <c r="E48" s="80">
        <f>SUM(E47:E47)</f>
        <v>0</v>
      </c>
      <c r="F48" s="80">
        <f>SUM(F47:F47)</f>
        <v>123</v>
      </c>
      <c r="G48" s="80">
        <f>SUM(G47:G47)</f>
        <v>0</v>
      </c>
      <c r="H48" s="80">
        <f>SUM(H47:H47)</f>
        <v>0</v>
      </c>
      <c r="I48" s="80">
        <f>SUM(I47:I47)</f>
        <v>0</v>
      </c>
      <c r="J48" s="80">
        <f>SUM(J47:J47)</f>
        <v>0</v>
      </c>
      <c r="K48" s="81">
        <f t="shared" si="8"/>
        <v>0</v>
      </c>
      <c r="L48" s="116">
        <f t="shared" si="1"/>
        <v>0</v>
      </c>
      <c r="M48" s="81">
        <f t="shared" si="9"/>
        <v>-123</v>
      </c>
      <c r="N48" s="81">
        <f t="shared" si="10"/>
        <v>0</v>
      </c>
      <c r="O48" s="13">
        <f t="shared" si="11"/>
      </c>
      <c r="P48" s="13">
        <f t="shared" si="12"/>
      </c>
      <c r="Q48" s="84">
        <f t="shared" si="6"/>
      </c>
      <c r="R48" s="13">
        <f t="shared" si="13"/>
        <v>0</v>
      </c>
    </row>
    <row r="49" spans="1:18" ht="18" customHeight="1">
      <c r="A49" s="171" t="s">
        <v>57</v>
      </c>
      <c r="B49" s="170" t="s">
        <v>82</v>
      </c>
      <c r="C49" s="41" t="s">
        <v>109</v>
      </c>
      <c r="D49" s="97" t="s">
        <v>90</v>
      </c>
      <c r="E49" s="47">
        <v>89426.59</v>
      </c>
      <c r="F49" s="1">
        <v>596188</v>
      </c>
      <c r="G49" s="112">
        <v>94021.7</v>
      </c>
      <c r="H49" s="1">
        <v>46905.1</v>
      </c>
      <c r="I49" s="47">
        <v>99831.27</v>
      </c>
      <c r="J49" s="47">
        <v>44000.729999999996</v>
      </c>
      <c r="K49" s="2">
        <f t="shared" si="8"/>
        <v>10404.680000000008</v>
      </c>
      <c r="L49" s="116">
        <f t="shared" si="1"/>
        <v>5809.570000000007</v>
      </c>
      <c r="M49" s="2">
        <f t="shared" si="9"/>
        <v>-496356.73</v>
      </c>
      <c r="N49" s="2">
        <f t="shared" si="10"/>
        <v>-2904.3700000000026</v>
      </c>
      <c r="O49" s="13">
        <f t="shared" si="11"/>
        <v>1.116348839869663</v>
      </c>
      <c r="P49" s="13">
        <f t="shared" si="12"/>
        <v>0.9380798676476545</v>
      </c>
      <c r="Q49" s="84">
        <f t="shared" si="6"/>
        <v>1.0617896719587074</v>
      </c>
      <c r="R49" s="13">
        <f t="shared" si="13"/>
        <v>0.16744931129106927</v>
      </c>
    </row>
    <row r="50" spans="1:18" ht="18" customHeight="1">
      <c r="A50" s="141"/>
      <c r="B50" s="137"/>
      <c r="C50" s="41" t="s">
        <v>110</v>
      </c>
      <c r="D50" s="97" t="s">
        <v>85</v>
      </c>
      <c r="E50" s="47">
        <v>52386.67</v>
      </c>
      <c r="F50" s="19">
        <v>454879.5</v>
      </c>
      <c r="G50" s="112">
        <v>57611.600000000006</v>
      </c>
      <c r="H50" s="19">
        <v>24064.8</v>
      </c>
      <c r="I50" s="47">
        <v>66187.01</v>
      </c>
      <c r="J50" s="47">
        <v>24546.74</v>
      </c>
      <c r="K50" s="35">
        <f t="shared" si="8"/>
        <v>13800.339999999997</v>
      </c>
      <c r="L50" s="116">
        <f t="shared" si="1"/>
        <v>8575.409999999989</v>
      </c>
      <c r="M50" s="35">
        <f t="shared" si="9"/>
        <v>-388692.49</v>
      </c>
      <c r="N50" s="35">
        <f>J50-H50</f>
        <v>481.9400000000023</v>
      </c>
      <c r="O50" s="13">
        <f t="shared" si="11"/>
        <v>1.2634322815326875</v>
      </c>
      <c r="P50" s="13">
        <f t="shared" si="12"/>
        <v>1.0200267610784217</v>
      </c>
      <c r="Q50" s="84">
        <f t="shared" si="6"/>
        <v>1.1488486693651971</v>
      </c>
      <c r="R50" s="13">
        <f t="shared" si="13"/>
        <v>0.145504490749748</v>
      </c>
    </row>
    <row r="51" spans="1:18" ht="18" customHeight="1">
      <c r="A51" s="141"/>
      <c r="B51" s="137"/>
      <c r="C51" s="41" t="s">
        <v>111</v>
      </c>
      <c r="D51" s="97" t="s">
        <v>86</v>
      </c>
      <c r="E51" s="47">
        <v>503519.87</v>
      </c>
      <c r="F51" s="1">
        <v>4256276</v>
      </c>
      <c r="G51" s="112">
        <v>601295.5</v>
      </c>
      <c r="H51" s="1">
        <v>310096.6</v>
      </c>
      <c r="I51" s="47">
        <v>506333.92</v>
      </c>
      <c r="J51" s="47">
        <v>233180.91</v>
      </c>
      <c r="K51" s="2">
        <f t="shared" si="8"/>
        <v>2814.0499999999884</v>
      </c>
      <c r="L51" s="116">
        <f t="shared" si="1"/>
        <v>-94961.58000000002</v>
      </c>
      <c r="M51" s="2">
        <f t="shared" si="9"/>
        <v>-3749942.08</v>
      </c>
      <c r="N51" s="2">
        <f t="shared" si="10"/>
        <v>-76915.68999999997</v>
      </c>
      <c r="O51" s="13">
        <f t="shared" si="11"/>
        <v>1.0055887566065664</v>
      </c>
      <c r="P51" s="13">
        <f t="shared" si="12"/>
        <v>0.7519621627583147</v>
      </c>
      <c r="Q51" s="84">
        <f t="shared" si="6"/>
        <v>0.8420716935350422</v>
      </c>
      <c r="R51" s="13">
        <f t="shared" si="13"/>
        <v>0.11896172146731086</v>
      </c>
    </row>
    <row r="52" spans="1:18" ht="18" customHeight="1">
      <c r="A52" s="141"/>
      <c r="B52" s="137"/>
      <c r="C52" s="41" t="s">
        <v>112</v>
      </c>
      <c r="D52" s="97" t="s">
        <v>87</v>
      </c>
      <c r="E52" s="47">
        <v>235.75</v>
      </c>
      <c r="F52" s="1">
        <v>1182.8</v>
      </c>
      <c r="G52" s="112">
        <v>170</v>
      </c>
      <c r="H52" s="1">
        <v>120</v>
      </c>
      <c r="I52" s="47">
        <v>124.3</v>
      </c>
      <c r="J52" s="47">
        <v>20.35</v>
      </c>
      <c r="K52" s="2">
        <f t="shared" si="8"/>
        <v>-111.45</v>
      </c>
      <c r="L52" s="116">
        <f t="shared" si="1"/>
        <v>-45.7</v>
      </c>
      <c r="M52" s="2">
        <f t="shared" si="9"/>
        <v>-1058.5</v>
      </c>
      <c r="N52" s="2">
        <f t="shared" si="10"/>
        <v>-99.65</v>
      </c>
      <c r="O52" s="13">
        <f t="shared" si="11"/>
        <v>0.5272534464475079</v>
      </c>
      <c r="P52" s="13">
        <f t="shared" si="12"/>
        <v>0.16958333333333334</v>
      </c>
      <c r="Q52" s="84">
        <f t="shared" si="6"/>
        <v>0.7311764705882353</v>
      </c>
      <c r="R52" s="13">
        <f t="shared" si="13"/>
        <v>0.10508961785593507</v>
      </c>
    </row>
    <row r="53" spans="1:18" ht="18" customHeight="1">
      <c r="A53" s="143"/>
      <c r="B53" s="139"/>
      <c r="C53" s="82"/>
      <c r="D53" s="98" t="s">
        <v>9</v>
      </c>
      <c r="E53" s="3">
        <f>SUM(E49:E52)</f>
        <v>645568.88</v>
      </c>
      <c r="F53" s="3">
        <f>SUM(F49:F52)</f>
        <v>5308526.3</v>
      </c>
      <c r="G53" s="3">
        <f>SUM(G49:G52)</f>
        <v>753098.8</v>
      </c>
      <c r="H53" s="3">
        <f>SUM(H49:H52)</f>
        <v>381186.5</v>
      </c>
      <c r="I53" s="3">
        <f>SUM(I49:I52)</f>
        <v>672476.5</v>
      </c>
      <c r="J53" s="3">
        <f>SUM(J49:J52)</f>
        <v>301748.73</v>
      </c>
      <c r="K53" s="3">
        <f t="shared" si="8"/>
        <v>26907.619999999995</v>
      </c>
      <c r="L53" s="116">
        <f t="shared" si="1"/>
        <v>-80622.30000000005</v>
      </c>
      <c r="M53" s="3">
        <f t="shared" si="9"/>
        <v>-4636049.8</v>
      </c>
      <c r="N53" s="3">
        <f t="shared" si="10"/>
        <v>-79437.77000000002</v>
      </c>
      <c r="O53" s="13">
        <f t="shared" si="11"/>
        <v>1.0416804787740077</v>
      </c>
      <c r="P53" s="13">
        <f t="shared" si="12"/>
        <v>0.7916039261621279</v>
      </c>
      <c r="Q53" s="84">
        <f t="shared" si="6"/>
        <v>0.8929459189152871</v>
      </c>
      <c r="R53" s="13">
        <f t="shared" si="13"/>
        <v>0.1266785661399097</v>
      </c>
    </row>
    <row r="54" spans="1:18" ht="18" customHeight="1">
      <c r="A54" s="169">
        <v>991</v>
      </c>
      <c r="B54" s="169" t="s">
        <v>59</v>
      </c>
      <c r="C54" s="24" t="s">
        <v>37</v>
      </c>
      <c r="D54" s="91" t="s">
        <v>60</v>
      </c>
      <c r="E54" s="47">
        <v>7590.28</v>
      </c>
      <c r="F54" s="1">
        <v>67760.3</v>
      </c>
      <c r="G54" s="112">
        <v>9900</v>
      </c>
      <c r="H54" s="1">
        <v>5600</v>
      </c>
      <c r="I54" s="47">
        <v>8093.57</v>
      </c>
      <c r="J54" s="47">
        <v>3953.89</v>
      </c>
      <c r="K54" s="1">
        <f t="shared" si="8"/>
        <v>503.28999999999996</v>
      </c>
      <c r="L54" s="116">
        <f t="shared" si="1"/>
        <v>-1806.4300000000003</v>
      </c>
      <c r="M54" s="1">
        <f t="shared" si="9"/>
        <v>-59666.73</v>
      </c>
      <c r="N54" s="1">
        <f t="shared" si="10"/>
        <v>-1646.1100000000001</v>
      </c>
      <c r="O54" s="13">
        <f t="shared" si="11"/>
        <v>1.0663071718039387</v>
      </c>
      <c r="P54" s="13">
        <f t="shared" si="12"/>
        <v>0.7060517857142857</v>
      </c>
      <c r="Q54" s="84">
        <f t="shared" si="6"/>
        <v>0.8175323232323232</v>
      </c>
      <c r="R54" s="13">
        <f t="shared" si="13"/>
        <v>0.11944412878927631</v>
      </c>
    </row>
    <row r="55" spans="1:18" ht="15.75" customHeight="1">
      <c r="A55" s="169"/>
      <c r="B55" s="169"/>
      <c r="C55" s="79"/>
      <c r="D55" s="92" t="s">
        <v>9</v>
      </c>
      <c r="E55" s="78">
        <f>SUM(E54:E54)</f>
        <v>7590.28</v>
      </c>
      <c r="F55" s="78">
        <f>SUM(F54:F54)</f>
        <v>67760.3</v>
      </c>
      <c r="G55" s="78">
        <f>SUM(G54:G54)</f>
        <v>9900</v>
      </c>
      <c r="H55" s="78">
        <f>SUM(H54:H54)</f>
        <v>5600</v>
      </c>
      <c r="I55" s="78">
        <f>SUM(I54:I54)</f>
        <v>8093.57</v>
      </c>
      <c r="J55" s="78">
        <f>SUM(J54:J54)</f>
        <v>3953.89</v>
      </c>
      <c r="K55" s="78">
        <f t="shared" si="8"/>
        <v>503.28999999999996</v>
      </c>
      <c r="L55" s="116">
        <f t="shared" si="1"/>
        <v>-1806.4300000000003</v>
      </c>
      <c r="M55" s="78">
        <f t="shared" si="9"/>
        <v>-59666.73</v>
      </c>
      <c r="N55" s="78">
        <f t="shared" si="10"/>
        <v>-1646.1100000000001</v>
      </c>
      <c r="O55" s="13">
        <f t="shared" si="11"/>
        <v>1.0663071718039387</v>
      </c>
      <c r="P55" s="13">
        <f t="shared" si="12"/>
        <v>0.7060517857142857</v>
      </c>
      <c r="Q55" s="84">
        <f t="shared" si="6"/>
        <v>0.8175323232323232</v>
      </c>
      <c r="R55" s="30">
        <f t="shared" si="13"/>
        <v>0.11944412878927631</v>
      </c>
    </row>
    <row r="56" spans="1:18" ht="18" customHeight="1">
      <c r="A56" s="162" t="s">
        <v>61</v>
      </c>
      <c r="B56" s="130" t="s">
        <v>62</v>
      </c>
      <c r="C56" s="22" t="s">
        <v>114</v>
      </c>
      <c r="D56" s="18" t="s">
        <v>63</v>
      </c>
      <c r="E56" s="47">
        <v>591.82</v>
      </c>
      <c r="F56" s="1">
        <v>10532.900000000001</v>
      </c>
      <c r="G56" s="112">
        <v>496.59999999999997</v>
      </c>
      <c r="H56" s="1">
        <v>447.9</v>
      </c>
      <c r="I56" s="47">
        <v>3105.48</v>
      </c>
      <c r="J56" s="47">
        <v>3380.2300000000005</v>
      </c>
      <c r="K56" s="1">
        <f t="shared" si="8"/>
        <v>2513.66</v>
      </c>
      <c r="L56" s="116">
        <f t="shared" si="1"/>
        <v>2608.88</v>
      </c>
      <c r="M56" s="1">
        <f t="shared" si="9"/>
        <v>-7427.420000000002</v>
      </c>
      <c r="N56" s="1">
        <f t="shared" si="10"/>
        <v>2932.3300000000004</v>
      </c>
      <c r="O56" s="30">
        <f t="shared" si="11"/>
        <v>5.247338717853401</v>
      </c>
      <c r="P56" s="30">
        <f t="shared" si="12"/>
        <v>7.5468408126814035</v>
      </c>
      <c r="Q56" s="84">
        <f t="shared" si="6"/>
        <v>6.253483689085784</v>
      </c>
      <c r="R56" s="13">
        <f t="shared" si="13"/>
        <v>0.29483617996942907</v>
      </c>
    </row>
    <row r="57" spans="1:18" ht="18" customHeight="1">
      <c r="A57" s="163"/>
      <c r="B57" s="164"/>
      <c r="C57" s="42" t="s">
        <v>115</v>
      </c>
      <c r="D57" s="99" t="s">
        <v>103</v>
      </c>
      <c r="E57" s="48">
        <v>3230.34</v>
      </c>
      <c r="F57" s="43">
        <f>26222.8</f>
        <v>26222.8</v>
      </c>
      <c r="G57" s="112">
        <v>600</v>
      </c>
      <c r="H57" s="43">
        <v>500</v>
      </c>
      <c r="I57" s="48">
        <v>1346.79</v>
      </c>
      <c r="J57" s="48">
        <v>923.42</v>
      </c>
      <c r="K57" s="1">
        <f t="shared" si="8"/>
        <v>-1883.5500000000002</v>
      </c>
      <c r="L57" s="116">
        <f t="shared" si="1"/>
        <v>746.79</v>
      </c>
      <c r="M57" s="1">
        <f t="shared" si="9"/>
        <v>-24876.01</v>
      </c>
      <c r="N57" s="1">
        <f t="shared" si="10"/>
        <v>423.41999999999996</v>
      </c>
      <c r="O57" s="30">
        <f t="shared" si="11"/>
        <v>0.41691896209067775</v>
      </c>
      <c r="P57" s="30">
        <f t="shared" si="12"/>
        <v>1.8468399999999998</v>
      </c>
      <c r="Q57" s="84">
        <f t="shared" si="6"/>
        <v>2.24465</v>
      </c>
      <c r="R57" s="13">
        <f t="shared" si="13"/>
        <v>0.051359503943133454</v>
      </c>
    </row>
    <row r="58" spans="1:18" ht="18" customHeight="1">
      <c r="A58" s="162"/>
      <c r="B58" s="130"/>
      <c r="C58" s="75"/>
      <c r="D58" s="98" t="s">
        <v>9</v>
      </c>
      <c r="E58" s="3">
        <f>SUBTOTAL(9,E56:E57)</f>
        <v>3822.1600000000003</v>
      </c>
      <c r="F58" s="3">
        <f>SUBTOTAL(9,F56:F57)</f>
        <v>36755.7</v>
      </c>
      <c r="G58" s="3">
        <f>SUBTOTAL(9,G56:G57)</f>
        <v>1096.6</v>
      </c>
      <c r="H58" s="3">
        <f>SUBTOTAL(9,H56:H57)</f>
        <v>947.9</v>
      </c>
      <c r="I58" s="3">
        <f>SUBTOTAL(9,I56:I57)</f>
        <v>4452.27</v>
      </c>
      <c r="J58" s="3">
        <f>SUBTOTAL(9,J56:J57)</f>
        <v>4303.650000000001</v>
      </c>
      <c r="K58" s="3">
        <f t="shared" si="8"/>
        <v>630.1100000000001</v>
      </c>
      <c r="L58" s="116">
        <f t="shared" si="1"/>
        <v>3355.6700000000005</v>
      </c>
      <c r="M58" s="3">
        <f t="shared" si="9"/>
        <v>-32303.429999999997</v>
      </c>
      <c r="N58" s="3">
        <f t="shared" si="10"/>
        <v>3355.7500000000005</v>
      </c>
      <c r="O58" s="13">
        <f t="shared" si="11"/>
        <v>1.1648570441844401</v>
      </c>
      <c r="P58" s="13">
        <f t="shared" si="12"/>
        <v>4.540194113303092</v>
      </c>
      <c r="Q58" s="84">
        <f t="shared" si="6"/>
        <v>4.060067481305855</v>
      </c>
      <c r="R58" s="13">
        <f t="shared" si="13"/>
        <v>0.12113141635174955</v>
      </c>
    </row>
    <row r="59" spans="1:18" ht="18" customHeight="1">
      <c r="A59" s="130"/>
      <c r="B59" s="130" t="s">
        <v>64</v>
      </c>
      <c r="C59" s="22" t="s">
        <v>131</v>
      </c>
      <c r="D59" s="93" t="s">
        <v>65</v>
      </c>
      <c r="E59" s="47">
        <v>36.23</v>
      </c>
      <c r="F59" s="1">
        <v>254.5</v>
      </c>
      <c r="G59" s="112">
        <v>42.4</v>
      </c>
      <c r="H59" s="1">
        <v>21.2</v>
      </c>
      <c r="I59" s="47">
        <v>44.61</v>
      </c>
      <c r="J59" s="47">
        <v>33.35</v>
      </c>
      <c r="K59" s="1">
        <f t="shared" si="8"/>
        <v>8.380000000000003</v>
      </c>
      <c r="L59" s="116">
        <f t="shared" si="1"/>
        <v>2.210000000000001</v>
      </c>
      <c r="M59" s="1">
        <f t="shared" si="9"/>
        <v>-209.89</v>
      </c>
      <c r="N59" s="1">
        <f t="shared" si="10"/>
        <v>12.150000000000002</v>
      </c>
      <c r="O59" s="13">
        <f t="shared" si="11"/>
        <v>1.2313000276014354</v>
      </c>
      <c r="P59" s="13">
        <f t="shared" si="12"/>
        <v>1.5731132075471699</v>
      </c>
      <c r="Q59" s="84">
        <f t="shared" si="6"/>
        <v>1.052122641509434</v>
      </c>
      <c r="R59" s="13">
        <f t="shared" si="13"/>
        <v>0.17528487229862474</v>
      </c>
    </row>
    <row r="60" spans="1:18" ht="18" customHeight="1">
      <c r="A60" s="131"/>
      <c r="B60" s="131"/>
      <c r="C60" s="22" t="s">
        <v>126</v>
      </c>
      <c r="D60" s="18" t="s">
        <v>97</v>
      </c>
      <c r="E60" s="47">
        <v>-162.94</v>
      </c>
      <c r="F60" s="4">
        <v>49.4</v>
      </c>
      <c r="G60" s="112">
        <v>49.4</v>
      </c>
      <c r="H60" s="4">
        <v>49.4</v>
      </c>
      <c r="I60" s="47">
        <v>396.45000000000005</v>
      </c>
      <c r="J60" s="47">
        <v>312.48</v>
      </c>
      <c r="K60" s="4">
        <f t="shared" si="8"/>
        <v>559.3900000000001</v>
      </c>
      <c r="L60" s="116">
        <f t="shared" si="1"/>
        <v>347.05000000000007</v>
      </c>
      <c r="M60" s="4">
        <f t="shared" si="9"/>
        <v>347.05000000000007</v>
      </c>
      <c r="N60" s="4">
        <f t="shared" si="10"/>
        <v>263.08000000000004</v>
      </c>
      <c r="O60" s="13">
        <f t="shared" si="11"/>
        <v>-2.4331042101387017</v>
      </c>
      <c r="P60" s="13">
        <f t="shared" si="12"/>
        <v>6.325506072874495</v>
      </c>
      <c r="Q60" s="84">
        <f t="shared" si="6"/>
        <v>8.025303643724698</v>
      </c>
      <c r="R60" s="13">
        <f t="shared" si="13"/>
        <v>8.025303643724698</v>
      </c>
    </row>
    <row r="61" spans="1:18" ht="17.25" customHeight="1">
      <c r="A61" s="130"/>
      <c r="B61" s="130"/>
      <c r="C61" s="22" t="s">
        <v>132</v>
      </c>
      <c r="D61" s="18" t="s">
        <v>56</v>
      </c>
      <c r="E61" s="47">
        <v>11654.530000000042</v>
      </c>
      <c r="F61" s="1">
        <f>715.4</f>
        <v>715.4</v>
      </c>
      <c r="G61" s="112">
        <v>100</v>
      </c>
      <c r="H61" s="1">
        <v>60</v>
      </c>
      <c r="I61" s="47">
        <v>13709.340000000042</v>
      </c>
      <c r="J61" s="47">
        <v>12770.56999999981</v>
      </c>
      <c r="K61" s="1">
        <f t="shared" si="8"/>
        <v>2054.8099999999995</v>
      </c>
      <c r="L61" s="116">
        <f t="shared" si="1"/>
        <v>13609.340000000042</v>
      </c>
      <c r="M61" s="1">
        <f t="shared" si="9"/>
        <v>12993.940000000042</v>
      </c>
      <c r="N61" s="1">
        <f t="shared" si="10"/>
        <v>12710.56999999981</v>
      </c>
      <c r="O61" s="36">
        <f t="shared" si="11"/>
        <v>1.1763099841864058</v>
      </c>
      <c r="P61" s="36">
        <f t="shared" si="12"/>
        <v>212.84283333333016</v>
      </c>
      <c r="Q61" s="84">
        <f t="shared" si="6"/>
        <v>137.09340000000043</v>
      </c>
      <c r="R61" s="36">
        <f t="shared" si="13"/>
        <v>19.163181436958403</v>
      </c>
    </row>
    <row r="62" spans="1:18" ht="18" customHeight="1">
      <c r="A62" s="130"/>
      <c r="B62" s="130"/>
      <c r="C62" s="22" t="s">
        <v>120</v>
      </c>
      <c r="D62" s="18" t="s">
        <v>58</v>
      </c>
      <c r="E62" s="47">
        <v>10528.240000000002</v>
      </c>
      <c r="F62" s="1">
        <f>99053.2</f>
        <v>99053.2</v>
      </c>
      <c r="G62" s="112">
        <v>10909.7</v>
      </c>
      <c r="H62" s="1">
        <v>5689.3</v>
      </c>
      <c r="I62" s="47">
        <v>12057.920000000006</v>
      </c>
      <c r="J62" s="47">
        <v>7962.639999999994</v>
      </c>
      <c r="K62" s="1">
        <f t="shared" si="8"/>
        <v>1529.680000000004</v>
      </c>
      <c r="L62" s="116">
        <f t="shared" si="1"/>
        <v>1148.2200000000048</v>
      </c>
      <c r="M62" s="1">
        <f t="shared" si="9"/>
        <v>-86995.28</v>
      </c>
      <c r="N62" s="1">
        <f t="shared" si="10"/>
        <v>2273.339999999994</v>
      </c>
      <c r="O62" s="13">
        <f t="shared" si="11"/>
        <v>1.1452930404322093</v>
      </c>
      <c r="P62" s="13">
        <f t="shared" si="12"/>
        <v>1.399581670855816</v>
      </c>
      <c r="Q62" s="84">
        <f t="shared" si="6"/>
        <v>1.1052476236743454</v>
      </c>
      <c r="R62" s="13">
        <f t="shared" si="13"/>
        <v>0.12173175626834878</v>
      </c>
    </row>
    <row r="63" spans="1:18" ht="18" customHeight="1">
      <c r="A63" s="130"/>
      <c r="B63" s="130"/>
      <c r="C63" s="22" t="s">
        <v>133</v>
      </c>
      <c r="D63" s="18" t="s">
        <v>66</v>
      </c>
      <c r="E63" s="47">
        <v>-6076.419999999999</v>
      </c>
      <c r="F63" s="1">
        <v>0</v>
      </c>
      <c r="G63" s="1">
        <v>0</v>
      </c>
      <c r="H63" s="1">
        <v>0</v>
      </c>
      <c r="I63" s="47">
        <v>2372.2000000000003</v>
      </c>
      <c r="J63" s="47">
        <v>2344.25</v>
      </c>
      <c r="K63" s="1">
        <f t="shared" si="8"/>
        <v>8448.619999999999</v>
      </c>
      <c r="L63" s="116">
        <f t="shared" si="1"/>
        <v>2372.2000000000003</v>
      </c>
      <c r="M63" s="1">
        <f t="shared" si="9"/>
        <v>2372.2000000000003</v>
      </c>
      <c r="N63" s="1">
        <f t="shared" si="10"/>
        <v>2344.25</v>
      </c>
      <c r="O63" s="13">
        <f t="shared" si="11"/>
        <v>-0.39039434403810147</v>
      </c>
      <c r="P63" s="13">
        <f t="shared" si="12"/>
      </c>
      <c r="Q63" s="84">
        <f t="shared" si="6"/>
      </c>
      <c r="R63" s="13">
        <f t="shared" si="13"/>
      </c>
    </row>
    <row r="64" spans="1:18" s="10" customFormat="1" ht="22.5" customHeight="1">
      <c r="A64" s="132"/>
      <c r="B64" s="132"/>
      <c r="C64" s="118" t="s">
        <v>101</v>
      </c>
      <c r="D64" s="122" t="s">
        <v>48</v>
      </c>
      <c r="E64" s="35">
        <f>17.04+9.12</f>
        <v>26.159999999999997</v>
      </c>
      <c r="F64" s="1">
        <v>0</v>
      </c>
      <c r="G64" s="1">
        <v>0</v>
      </c>
      <c r="H64" s="1">
        <v>0</v>
      </c>
      <c r="I64" s="35">
        <v>194.64</v>
      </c>
      <c r="J64" s="35">
        <v>194.64</v>
      </c>
      <c r="K64" s="1">
        <f t="shared" si="8"/>
        <v>168.48</v>
      </c>
      <c r="L64" s="120">
        <f t="shared" si="1"/>
        <v>194.64</v>
      </c>
      <c r="M64" s="1">
        <f t="shared" si="9"/>
        <v>194.64</v>
      </c>
      <c r="N64" s="1">
        <f t="shared" si="10"/>
        <v>194.64</v>
      </c>
      <c r="O64" s="13">
        <f t="shared" si="11"/>
        <v>7.440366972477064</v>
      </c>
      <c r="P64" s="13">
        <f t="shared" si="12"/>
      </c>
      <c r="Q64" s="31">
        <f t="shared" si="6"/>
      </c>
      <c r="R64" s="13">
        <f t="shared" si="13"/>
      </c>
    </row>
    <row r="65" spans="1:18" ht="17.25" customHeight="1">
      <c r="A65" s="133"/>
      <c r="B65" s="133"/>
      <c r="C65" s="22" t="s">
        <v>134</v>
      </c>
      <c r="D65" s="18" t="s">
        <v>98</v>
      </c>
      <c r="E65" s="47">
        <v>83.58</v>
      </c>
      <c r="F65" s="1">
        <v>0</v>
      </c>
      <c r="G65" s="1">
        <v>0</v>
      </c>
      <c r="H65" s="1">
        <v>0</v>
      </c>
      <c r="I65" s="47">
        <v>0</v>
      </c>
      <c r="J65" s="47">
        <v>0</v>
      </c>
      <c r="K65" s="1">
        <f t="shared" si="8"/>
        <v>-83.58</v>
      </c>
      <c r="L65" s="116">
        <f t="shared" si="1"/>
        <v>0</v>
      </c>
      <c r="M65" s="1">
        <f aca="true" t="shared" si="14" ref="M65:M78">I65-F65</f>
        <v>0</v>
      </c>
      <c r="N65" s="1">
        <f aca="true" t="shared" si="15" ref="N65:N78">J65-H65</f>
        <v>0</v>
      </c>
      <c r="O65" s="13">
        <f aca="true" t="shared" si="16" ref="O65:O78">_xlfn.IFERROR(I65/E65,"")</f>
        <v>0</v>
      </c>
      <c r="P65" s="13">
        <f aca="true" t="shared" si="17" ref="P65:P77">_xlfn.IFERROR(J65/H65,"")</f>
      </c>
      <c r="Q65" s="84">
        <f t="shared" si="6"/>
      </c>
      <c r="R65" s="13">
        <f t="shared" si="13"/>
      </c>
    </row>
    <row r="66" spans="1:18" ht="15.75">
      <c r="A66" s="130"/>
      <c r="B66" s="130"/>
      <c r="C66" s="75"/>
      <c r="D66" s="92" t="s">
        <v>67</v>
      </c>
      <c r="E66" s="78">
        <f>SUM(E59:E65)</f>
        <v>16089.380000000046</v>
      </c>
      <c r="F66" s="78">
        <f>SUM(F59:F65)</f>
        <v>100072.5</v>
      </c>
      <c r="G66" s="78">
        <f>SUM(G59:G65)</f>
        <v>11101.5</v>
      </c>
      <c r="H66" s="78">
        <f>SUM(H59:H65)</f>
        <v>5819.900000000001</v>
      </c>
      <c r="I66" s="78">
        <f>SUM(I59:I65)</f>
        <v>28775.160000000047</v>
      </c>
      <c r="J66" s="78">
        <f>SUM(J59:J65)</f>
        <v>23617.929999999804</v>
      </c>
      <c r="K66" s="83">
        <f t="shared" si="8"/>
        <v>12685.78</v>
      </c>
      <c r="L66" s="116">
        <f aca="true" t="shared" si="18" ref="L66:L78">I66-G66</f>
        <v>17673.660000000047</v>
      </c>
      <c r="M66" s="83">
        <f t="shared" si="14"/>
        <v>-71297.33999999995</v>
      </c>
      <c r="N66" s="83">
        <f t="shared" si="15"/>
        <v>17798.029999999802</v>
      </c>
      <c r="O66" s="84">
        <f t="shared" si="16"/>
        <v>1.7884567335720807</v>
      </c>
      <c r="P66" s="84">
        <f t="shared" si="17"/>
        <v>4.058133301259438</v>
      </c>
      <c r="Q66" s="84">
        <f aca="true" t="shared" si="19" ref="Q66:Q78">_xlfn.IFERROR(I66/G66,"")</f>
        <v>2.592006485610057</v>
      </c>
      <c r="R66" s="30">
        <f t="shared" si="13"/>
        <v>0.2875431312298588</v>
      </c>
    </row>
    <row r="67" spans="1:18" s="16" customFormat="1" ht="23.25" customHeight="1">
      <c r="A67" s="134" t="s">
        <v>68</v>
      </c>
      <c r="B67" s="134"/>
      <c r="C67" s="135"/>
      <c r="D67" s="134"/>
      <c r="E67" s="33">
        <f>E5+E21</f>
        <v>1367359.26</v>
      </c>
      <c r="F67" s="33">
        <f>F5+F21</f>
        <v>28731587.9</v>
      </c>
      <c r="G67" s="33">
        <f>G5+G21</f>
        <v>3714960.8</v>
      </c>
      <c r="H67" s="33">
        <f>H5+H21</f>
        <v>2191866.5</v>
      </c>
      <c r="I67" s="33">
        <f>I5+I21</f>
        <v>2366281.35</v>
      </c>
      <c r="J67" s="33">
        <f>J5+J21</f>
        <v>966642.8799999999</v>
      </c>
      <c r="K67" s="34">
        <f t="shared" si="8"/>
        <v>998922.0900000001</v>
      </c>
      <c r="L67" s="109">
        <f t="shared" si="18"/>
        <v>-1348679.4499999997</v>
      </c>
      <c r="M67" s="34">
        <f t="shared" si="14"/>
        <v>-26365306.549999997</v>
      </c>
      <c r="N67" s="34">
        <f t="shared" si="15"/>
        <v>-1225223.62</v>
      </c>
      <c r="O67" s="32">
        <f t="shared" si="16"/>
        <v>1.7305483783391353</v>
      </c>
      <c r="P67" s="32">
        <f t="shared" si="17"/>
        <v>0.4410135745037391</v>
      </c>
      <c r="Q67" s="60">
        <f t="shared" si="19"/>
        <v>0.6369599781510481</v>
      </c>
      <c r="R67" s="32">
        <f t="shared" si="13"/>
        <v>0.08235818215950397</v>
      </c>
    </row>
    <row r="68" spans="1:18" s="53" customFormat="1" ht="28.5" customHeight="1">
      <c r="A68" s="100"/>
      <c r="B68" s="101"/>
      <c r="C68" s="86"/>
      <c r="D68" s="51" t="s">
        <v>69</v>
      </c>
      <c r="E68" s="49">
        <f>SUM(E69:E77)</f>
        <v>1906032.3400000005</v>
      </c>
      <c r="F68" s="49">
        <f>SUM(F69:F77)</f>
        <v>22148004.400000002</v>
      </c>
      <c r="G68" s="49">
        <f>SUM(G69:G77)</f>
        <v>2547873.21</v>
      </c>
      <c r="H68" s="49">
        <f>SUM(H69:H77)</f>
        <v>1904216.48</v>
      </c>
      <c r="I68" s="49">
        <f>SUM(I69:I77)</f>
        <v>2476454.8400000003</v>
      </c>
      <c r="J68" s="49">
        <f>SUM(J69:J77)</f>
        <v>2211885.03</v>
      </c>
      <c r="K68" s="34">
        <f t="shared" si="8"/>
        <v>570422.4999999998</v>
      </c>
      <c r="L68" s="109">
        <f t="shared" si="18"/>
        <v>-71418.36999999965</v>
      </c>
      <c r="M68" s="34">
        <f t="shared" si="14"/>
        <v>-19671549.560000002</v>
      </c>
      <c r="N68" s="34">
        <f t="shared" si="15"/>
        <v>307668.5499999998</v>
      </c>
      <c r="O68" s="32">
        <f t="shared" si="16"/>
        <v>1.2992722043740348</v>
      </c>
      <c r="P68" s="32">
        <f t="shared" si="17"/>
        <v>1.1615722546419722</v>
      </c>
      <c r="Q68" s="60">
        <f t="shared" si="19"/>
        <v>0.9719694175833814</v>
      </c>
      <c r="R68" s="32">
        <f t="shared" si="13"/>
        <v>0.1118139041005428</v>
      </c>
    </row>
    <row r="69" spans="1:18" ht="19.5" customHeight="1">
      <c r="A69" s="140"/>
      <c r="B69" s="136"/>
      <c r="C69" s="22" t="s">
        <v>135</v>
      </c>
      <c r="D69" s="5" t="s">
        <v>70</v>
      </c>
      <c r="E69" s="35">
        <v>258324</v>
      </c>
      <c r="F69" s="1">
        <v>284166.8</v>
      </c>
      <c r="G69" s="112">
        <v>108345.1</v>
      </c>
      <c r="H69" s="1">
        <v>108345.1</v>
      </c>
      <c r="I69" s="35">
        <v>151433.2</v>
      </c>
      <c r="J69" s="2">
        <v>151433.2</v>
      </c>
      <c r="K69" s="35">
        <f t="shared" si="8"/>
        <v>-106890.79999999999</v>
      </c>
      <c r="L69" s="120">
        <f t="shared" si="18"/>
        <v>43088.100000000006</v>
      </c>
      <c r="M69" s="1">
        <f>I69-F69</f>
        <v>-132733.59999999998</v>
      </c>
      <c r="N69" s="1">
        <f t="shared" si="15"/>
        <v>43088.100000000006</v>
      </c>
      <c r="O69" s="31">
        <f t="shared" si="16"/>
        <v>0.5862142116102259</v>
      </c>
      <c r="P69" s="31">
        <f t="shared" si="17"/>
        <v>1.3976931121019778</v>
      </c>
      <c r="Q69" s="31">
        <f t="shared" si="19"/>
        <v>1.3976931121019778</v>
      </c>
      <c r="R69" s="31">
        <f t="shared" si="13"/>
        <v>0.5329025065560087</v>
      </c>
    </row>
    <row r="70" spans="1:18" ht="18" customHeight="1">
      <c r="A70" s="141"/>
      <c r="B70" s="137"/>
      <c r="C70" s="22" t="s">
        <v>136</v>
      </c>
      <c r="D70" s="5" t="s">
        <v>71</v>
      </c>
      <c r="E70" s="35">
        <v>110928.40999999999</v>
      </c>
      <c r="F70" s="1">
        <f>5762918.2</f>
        <v>5762918.2</v>
      </c>
      <c r="G70" s="112">
        <v>66580.97</v>
      </c>
      <c r="H70" s="19">
        <v>59326.47</v>
      </c>
      <c r="I70" s="35">
        <v>66580.97</v>
      </c>
      <c r="J70" s="35">
        <v>59326.47</v>
      </c>
      <c r="K70" s="35">
        <f t="shared" si="8"/>
        <v>-44347.43999999999</v>
      </c>
      <c r="L70" s="120">
        <f t="shared" si="18"/>
        <v>0</v>
      </c>
      <c r="M70" s="1">
        <f t="shared" si="14"/>
        <v>-5696337.23</v>
      </c>
      <c r="N70" s="1">
        <f t="shared" si="15"/>
        <v>0</v>
      </c>
      <c r="O70" s="31">
        <f t="shared" si="16"/>
        <v>0.6002156706293726</v>
      </c>
      <c r="P70" s="31">
        <f t="shared" si="17"/>
        <v>1</v>
      </c>
      <c r="Q70" s="31">
        <f t="shared" si="19"/>
        <v>1</v>
      </c>
      <c r="R70" s="31">
        <f t="shared" si="13"/>
        <v>0.011553342887983382</v>
      </c>
    </row>
    <row r="71" spans="1:18" ht="18" customHeight="1">
      <c r="A71" s="141"/>
      <c r="B71" s="137"/>
      <c r="C71" s="22" t="s">
        <v>137</v>
      </c>
      <c r="D71" s="5" t="s">
        <v>72</v>
      </c>
      <c r="E71" s="35">
        <v>1221571.8800000004</v>
      </c>
      <c r="F71" s="1">
        <v>13564930.3</v>
      </c>
      <c r="G71" s="112">
        <v>1698448.05</v>
      </c>
      <c r="H71" s="19">
        <v>1062045.8199999998</v>
      </c>
      <c r="I71" s="35">
        <v>1698650.8900000001</v>
      </c>
      <c r="J71" s="35">
        <v>1062248.66</v>
      </c>
      <c r="K71" s="35">
        <f t="shared" si="8"/>
        <v>477079.0099999998</v>
      </c>
      <c r="L71" s="120">
        <f t="shared" si="18"/>
        <v>202.84000000008382</v>
      </c>
      <c r="M71" s="1">
        <f t="shared" si="14"/>
        <v>-11866279.41</v>
      </c>
      <c r="N71" s="1">
        <f t="shared" si="15"/>
        <v>202.84000000008382</v>
      </c>
      <c r="O71" s="31">
        <f t="shared" si="16"/>
        <v>1.390545180198483</v>
      </c>
      <c r="P71" s="31">
        <f t="shared" si="17"/>
        <v>1.000190989876501</v>
      </c>
      <c r="Q71" s="31">
        <f t="shared" si="19"/>
        <v>1.0001194266730737</v>
      </c>
      <c r="R71" s="31">
        <f t="shared" si="13"/>
        <v>0.12522370940601146</v>
      </c>
    </row>
    <row r="72" spans="1:18" ht="18" customHeight="1">
      <c r="A72" s="141"/>
      <c r="B72" s="137"/>
      <c r="C72" s="22" t="s">
        <v>138</v>
      </c>
      <c r="D72" s="91" t="s">
        <v>73</v>
      </c>
      <c r="E72" s="35">
        <v>810324.6799999999</v>
      </c>
      <c r="F72" s="1">
        <f>2535989.1</f>
        <v>2535989.1</v>
      </c>
      <c r="G72" s="112">
        <v>674499.09</v>
      </c>
      <c r="H72" s="1">
        <v>674499.09</v>
      </c>
      <c r="I72" s="35">
        <v>679949.84</v>
      </c>
      <c r="J72" s="35">
        <v>679949.84</v>
      </c>
      <c r="K72" s="35">
        <f t="shared" si="8"/>
        <v>-130374.83999999997</v>
      </c>
      <c r="L72" s="120">
        <f t="shared" si="18"/>
        <v>5450.75</v>
      </c>
      <c r="M72" s="1">
        <f t="shared" si="14"/>
        <v>-1856039.2600000002</v>
      </c>
      <c r="N72" s="1">
        <f t="shared" si="15"/>
        <v>5450.75</v>
      </c>
      <c r="O72" s="31">
        <f t="shared" si="16"/>
        <v>0.8391078993175921</v>
      </c>
      <c r="P72" s="31">
        <f t="shared" si="17"/>
        <v>1.0080811821406608</v>
      </c>
      <c r="Q72" s="31">
        <f t="shared" si="19"/>
        <v>1.0080811821406608</v>
      </c>
      <c r="R72" s="31">
        <f t="shared" si="13"/>
        <v>0.2681201744912862</v>
      </c>
    </row>
    <row r="73" spans="1:18" s="10" customFormat="1" ht="31.5">
      <c r="A73" s="141"/>
      <c r="B73" s="137"/>
      <c r="C73" s="118" t="s">
        <v>139</v>
      </c>
      <c r="D73" s="119" t="s">
        <v>89</v>
      </c>
      <c r="E73" s="35">
        <v>4.12</v>
      </c>
      <c r="F73" s="35">
        <v>0</v>
      </c>
      <c r="G73" s="35">
        <v>0</v>
      </c>
      <c r="H73" s="35">
        <v>0</v>
      </c>
      <c r="I73" s="35">
        <v>45.15</v>
      </c>
      <c r="J73" s="35">
        <v>20.9</v>
      </c>
      <c r="K73" s="35">
        <f t="shared" si="8"/>
        <v>41.03</v>
      </c>
      <c r="L73" s="120">
        <f t="shared" si="18"/>
        <v>45.15</v>
      </c>
      <c r="M73" s="1">
        <f t="shared" si="14"/>
        <v>45.15</v>
      </c>
      <c r="N73" s="1">
        <f>J73-H73</f>
        <v>20.9</v>
      </c>
      <c r="O73" s="31">
        <f t="shared" si="16"/>
        <v>10.95873786407767</v>
      </c>
      <c r="P73" s="31">
        <f t="shared" si="17"/>
      </c>
      <c r="Q73" s="121">
        <f t="shared" si="19"/>
      </c>
      <c r="R73" s="31">
        <f t="shared" si="13"/>
      </c>
    </row>
    <row r="74" spans="1:18" s="10" customFormat="1" ht="21" customHeight="1">
      <c r="A74" s="141"/>
      <c r="B74" s="137"/>
      <c r="C74" s="118" t="s">
        <v>140</v>
      </c>
      <c r="D74" s="123" t="s">
        <v>74</v>
      </c>
      <c r="E74" s="35">
        <v>0</v>
      </c>
      <c r="F74" s="35">
        <v>0</v>
      </c>
      <c r="G74" s="35">
        <v>0</v>
      </c>
      <c r="H74" s="35">
        <v>0</v>
      </c>
      <c r="I74" s="35">
        <v>58676.62</v>
      </c>
      <c r="J74" s="35">
        <v>0</v>
      </c>
      <c r="K74" s="35">
        <f t="shared" si="8"/>
        <v>58676.62</v>
      </c>
      <c r="L74" s="120">
        <f t="shared" si="18"/>
        <v>58676.62</v>
      </c>
      <c r="M74" s="1">
        <f t="shared" si="14"/>
        <v>58676.62</v>
      </c>
      <c r="N74" s="1">
        <f t="shared" si="15"/>
        <v>0</v>
      </c>
      <c r="O74" s="31">
        <f t="shared" si="16"/>
      </c>
      <c r="P74" s="31">
        <f t="shared" si="17"/>
      </c>
      <c r="Q74" s="121">
        <f t="shared" si="19"/>
      </c>
      <c r="R74" s="31">
        <f t="shared" si="13"/>
      </c>
    </row>
    <row r="75" spans="1:18" s="127" customFormat="1" ht="61.5" customHeight="1">
      <c r="A75" s="142"/>
      <c r="B75" s="138"/>
      <c r="C75" s="118" t="s">
        <v>141</v>
      </c>
      <c r="D75" s="123" t="s">
        <v>91</v>
      </c>
      <c r="E75" s="124">
        <v>0</v>
      </c>
      <c r="F75" s="35">
        <v>0</v>
      </c>
      <c r="G75" s="35">
        <v>0</v>
      </c>
      <c r="H75" s="35">
        <v>0</v>
      </c>
      <c r="I75" s="35">
        <v>-3626.44</v>
      </c>
      <c r="J75" s="35">
        <v>-3626.44</v>
      </c>
      <c r="K75" s="35">
        <f t="shared" si="8"/>
        <v>-3626.44</v>
      </c>
      <c r="L75" s="120">
        <f t="shared" si="18"/>
        <v>-3626.44</v>
      </c>
      <c r="M75" s="1">
        <f t="shared" si="14"/>
        <v>-3626.44</v>
      </c>
      <c r="N75" s="1">
        <f t="shared" si="15"/>
        <v>-3626.44</v>
      </c>
      <c r="O75" s="125">
        <f t="shared" si="16"/>
      </c>
      <c r="P75" s="31">
        <f t="shared" si="17"/>
      </c>
      <c r="Q75" s="121">
        <f t="shared" si="19"/>
      </c>
      <c r="R75" s="126">
        <f>_xlfn.IFERROR(I75/F75,"")</f>
      </c>
    </row>
    <row r="76" spans="1:18" s="10" customFormat="1" ht="34.5" customHeight="1">
      <c r="A76" s="141"/>
      <c r="B76" s="137"/>
      <c r="C76" s="118" t="s">
        <v>142</v>
      </c>
      <c r="D76" s="122" t="s">
        <v>75</v>
      </c>
      <c r="E76" s="35">
        <v>172358.72</v>
      </c>
      <c r="F76" s="35">
        <v>0</v>
      </c>
      <c r="G76" s="35">
        <v>0</v>
      </c>
      <c r="H76" s="35">
        <v>0</v>
      </c>
      <c r="I76" s="35">
        <v>157104.39</v>
      </c>
      <c r="J76" s="35">
        <v>-62012.520000000004</v>
      </c>
      <c r="K76" s="35">
        <f t="shared" si="8"/>
        <v>-15254.329999999987</v>
      </c>
      <c r="L76" s="120">
        <f t="shared" si="18"/>
        <v>157104.39</v>
      </c>
      <c r="M76" s="1">
        <f t="shared" si="14"/>
        <v>157104.39</v>
      </c>
      <c r="N76" s="1">
        <f t="shared" si="15"/>
        <v>-62012.520000000004</v>
      </c>
      <c r="O76" s="31">
        <f t="shared" si="16"/>
        <v>0.9114966158950357</v>
      </c>
      <c r="P76" s="31">
        <f t="shared" si="17"/>
      </c>
      <c r="Q76" s="121">
        <f t="shared" si="19"/>
      </c>
      <c r="R76" s="31">
        <f>_xlfn.IFERROR(I76/F76,"")</f>
      </c>
    </row>
    <row r="77" spans="1:18" s="10" customFormat="1" ht="18" customHeight="1">
      <c r="A77" s="143"/>
      <c r="B77" s="139"/>
      <c r="C77" s="118" t="s">
        <v>143</v>
      </c>
      <c r="D77" s="122" t="s">
        <v>76</v>
      </c>
      <c r="E77" s="35">
        <v>-667479.47</v>
      </c>
      <c r="F77" s="35">
        <v>0</v>
      </c>
      <c r="G77" s="35">
        <v>0</v>
      </c>
      <c r="H77" s="35">
        <v>0</v>
      </c>
      <c r="I77" s="35">
        <v>-332359.7799999999</v>
      </c>
      <c r="J77" s="35">
        <v>324544.92</v>
      </c>
      <c r="K77" s="35">
        <f t="shared" si="8"/>
        <v>335119.69000000006</v>
      </c>
      <c r="L77" s="120">
        <f t="shared" si="18"/>
        <v>-332359.7799999999</v>
      </c>
      <c r="M77" s="1">
        <f t="shared" si="14"/>
        <v>-332359.7799999999</v>
      </c>
      <c r="N77" s="1">
        <f t="shared" si="15"/>
        <v>324544.92</v>
      </c>
      <c r="O77" s="31">
        <f t="shared" si="16"/>
        <v>0.4979325880989267</v>
      </c>
      <c r="P77" s="31">
        <f t="shared" si="17"/>
      </c>
      <c r="Q77" s="121">
        <f t="shared" si="19"/>
      </c>
      <c r="R77" s="31">
        <f t="shared" si="13"/>
      </c>
    </row>
    <row r="78" spans="1:18" s="53" customFormat="1" ht="29.25" customHeight="1">
      <c r="A78" s="128" t="s">
        <v>77</v>
      </c>
      <c r="B78" s="128"/>
      <c r="C78" s="129"/>
      <c r="D78" s="128"/>
      <c r="E78" s="50">
        <f>E67+E68</f>
        <v>3273391.6000000006</v>
      </c>
      <c r="F78" s="50">
        <f>F67+F68</f>
        <v>50879592.3</v>
      </c>
      <c r="G78" s="50">
        <f>G67+G68</f>
        <v>6262834.01</v>
      </c>
      <c r="H78" s="50">
        <f>H67+H68</f>
        <v>4096082.98</v>
      </c>
      <c r="I78" s="50">
        <f>I67+I68</f>
        <v>4842736.19</v>
      </c>
      <c r="J78" s="50">
        <f>J67+J68</f>
        <v>3178527.9099999997</v>
      </c>
      <c r="K78" s="34">
        <f t="shared" si="8"/>
        <v>1569344.5899999999</v>
      </c>
      <c r="L78" s="109">
        <f t="shared" si="18"/>
        <v>-1420097.8199999994</v>
      </c>
      <c r="M78" s="52">
        <f t="shared" si="14"/>
        <v>-46036856.11</v>
      </c>
      <c r="N78" s="52">
        <f t="shared" si="15"/>
        <v>-917555.0700000003</v>
      </c>
      <c r="O78" s="32">
        <f t="shared" si="16"/>
        <v>1.4794246401805393</v>
      </c>
      <c r="P78" s="32">
        <f>_xlfn.IFERROR(J78/H78,"")</f>
        <v>0.7759920698676861</v>
      </c>
      <c r="Q78" s="60">
        <f t="shared" si="19"/>
        <v>0.7732499667510748</v>
      </c>
      <c r="R78" s="32">
        <f t="shared" si="13"/>
        <v>0.09518032615996415</v>
      </c>
    </row>
    <row r="79" spans="1:18" ht="15.75">
      <c r="A79" s="6" t="s">
        <v>78</v>
      </c>
      <c r="B79" s="7"/>
      <c r="C79" s="28"/>
      <c r="D79" s="8"/>
      <c r="E79" s="9"/>
      <c r="F79" s="9"/>
      <c r="G79" s="9"/>
      <c r="H79" s="9"/>
      <c r="I79" s="62"/>
      <c r="J79" s="62"/>
      <c r="K79" s="44"/>
      <c r="L79" s="44"/>
      <c r="M79" s="9"/>
      <c r="N79" s="9"/>
      <c r="O79" s="9"/>
      <c r="P79" s="10"/>
      <c r="Q79" s="10"/>
      <c r="R79" s="10"/>
    </row>
    <row r="81" spans="9:12" ht="12.75">
      <c r="I81" s="17"/>
      <c r="J81" s="17"/>
      <c r="K81" s="46"/>
      <c r="L81" s="46"/>
    </row>
    <row r="82" spans="9:12" ht="12.75">
      <c r="I82" s="17"/>
      <c r="J82" s="17"/>
      <c r="K82" s="46"/>
      <c r="L82" s="46"/>
    </row>
    <row r="83" spans="9:12" ht="12.75">
      <c r="I83" s="17"/>
      <c r="J83" s="17"/>
      <c r="K83" s="46"/>
      <c r="L83" s="46"/>
    </row>
    <row r="84" spans="9:12" ht="12.75">
      <c r="I84" s="17"/>
      <c r="J84" s="17"/>
      <c r="K84" s="46"/>
      <c r="L84" s="46"/>
    </row>
    <row r="85" spans="9:12" ht="12.75">
      <c r="I85" s="17"/>
      <c r="J85" s="17"/>
      <c r="K85" s="46"/>
      <c r="L85" s="46"/>
    </row>
  </sheetData>
  <sheetProtection/>
  <autoFilter ref="A4:R82"/>
  <mergeCells count="37">
    <mergeCell ref="A26:A28"/>
    <mergeCell ref="B26:B28"/>
    <mergeCell ref="I3:J3"/>
    <mergeCell ref="M3:N3"/>
    <mergeCell ref="A22:A25"/>
    <mergeCell ref="B22:B25"/>
    <mergeCell ref="A6:A16"/>
    <mergeCell ref="A21:C21"/>
    <mergeCell ref="A56:A58"/>
    <mergeCell ref="B56:B58"/>
    <mergeCell ref="A29:A36"/>
    <mergeCell ref="B29:B36"/>
    <mergeCell ref="A37:A46"/>
    <mergeCell ref="B37:B46"/>
    <mergeCell ref="A47:A48"/>
    <mergeCell ref="B47:B48"/>
    <mergeCell ref="A54:A55"/>
    <mergeCell ref="B54:B55"/>
    <mergeCell ref="B49:B53"/>
    <mergeCell ref="A49:A53"/>
    <mergeCell ref="A1:R1"/>
    <mergeCell ref="A3:A4"/>
    <mergeCell ref="B3:B4"/>
    <mergeCell ref="C3:C4"/>
    <mergeCell ref="D3:D4"/>
    <mergeCell ref="F3:H3"/>
    <mergeCell ref="R3:R4"/>
    <mergeCell ref="P3:P4"/>
    <mergeCell ref="E3:E4"/>
    <mergeCell ref="O3:O4"/>
    <mergeCell ref="Q3:Q4"/>
    <mergeCell ref="A78:D78"/>
    <mergeCell ref="A59:A66"/>
    <mergeCell ref="B59:B66"/>
    <mergeCell ref="A67:D67"/>
    <mergeCell ref="B69:B77"/>
    <mergeCell ref="A69:A77"/>
  </mergeCells>
  <printOptions/>
  <pageMargins left="0" right="0" top="0.6692913385826772" bottom="0.1968503937007874" header="0.1968503937007874" footer="0.15748031496062992"/>
  <pageSetup fitToHeight="2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Юрьева Ольга Ивановна</cp:lastModifiedBy>
  <cp:lastPrinted>2024-02-22T10:11:09Z</cp:lastPrinted>
  <dcterms:created xsi:type="dcterms:W3CDTF">2015-02-26T11:08:47Z</dcterms:created>
  <dcterms:modified xsi:type="dcterms:W3CDTF">2024-02-26T06:42:30Z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