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01.04.2023" sheetId="1" r:id="rId1"/>
  </sheets>
  <definedNames>
    <definedName name="_xlfn.IFERROR" hidden="1">#NAME?</definedName>
    <definedName name="_xlnm._FilterDatabase" localSheetId="0" hidden="1">'01.04.2023'!$A$4:$Q$86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'01.04.2023'!$3:$4</definedName>
    <definedName name="о">#REF!</definedName>
    <definedName name="_xlnm.Print_Area" localSheetId="0">'01.04.2023'!$A$1:$Q$83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<sst xmlns="http://schemas.openxmlformats.org/spreadsheetml/2006/main" count="135" uniqueCount="110">
  <si>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</si>
  <si>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</si>
  <si>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</si>
  <si>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</si>
  <si>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</si>
  <si>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</si>
  <si>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</si>
  <si>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</si>
  <si>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</si>
  <si>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</si>
  <si>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</si>
  <si>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</si>
  <si>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</si>
  <si>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</si>
  <si>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</si>
  <si>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</si>
  <si>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</si>
  <si>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</si>
  <si>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</si>
  <si>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</si>
  <si>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</si>
  <si>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</si>
  <si>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</si>
  <si>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</si>
  <si>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</si>
  <si>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</si>
  <si>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</si>
  <si>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</si>
  <si>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</si>
  <si>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</si>
  <si>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</si>
  <si>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</si>
  <si>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</si>
  <si>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</si>
  <si>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</si>
  <si>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</si>
  <si>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</si>
  <si>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</si>
  <si>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</si>
  <si>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</si>
  <si>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</si>
  <si>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</si>
  <si>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</si>
  <si>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</si>
  <si>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</si>
  <si>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</si>
  <si>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</si>
  <si>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</si>
  <si>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</si>
  <si>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</si>
  <si>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</si>
  <si>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</si>
  <si>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</si>
  <si>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</si>
  <si>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</si>
  <si>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</si>
  <si>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</si>
  <si>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</si>
  <si>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</si>
  <si>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</si>
  <si>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</si>
  <si>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</si>
  <si>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</si>
  <si>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</si>
  <si>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</si>
  <si>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</si>
  <si>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</si>
  <si>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</si>
  <si>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</si>
  <si>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</si>
  <si>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</si>
  <si>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</si>
  <si>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</si>
  <si>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</si>
  <si>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</si>
  <si>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</si>
  <si>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</si>
  <si>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</si>
  <si>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</si>
  <si>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</si>
  <si>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</si>
  <si>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</si>
  <si>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</si>
  <si>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</si>
  <si>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</si>
  <si>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</si>
  <si>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</si>
  <si>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</si>
  <si>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</si>
  <si>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</si>
  <si>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</si>
  <si>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</si>
  <si>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</si>
  <si>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</si>
  <si>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</si>
  <si>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</si>
  <si>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</si>
  <si>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</si>
  <si>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</si>
  <si>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</si>
  <si>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</si>
  <si>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отч.пер. от плана отч.пер.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</si>
  <si>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</si>
  <si>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</si>
  <si>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</si>
  <si>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t>январь-март</t>
  </si>
  <si>
    <t>Март</t>
  </si>
  <si>
    <t>факта за март от плана марта</t>
  </si>
  <si>
    <t>Факт с нач. 2023 года       по 01.04.2023 (в соп.усл.с 2024г)</t>
  </si>
  <si>
    <r>
      <t>с нач. года на 01.04.2024 (по 29.03.2024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</si>
</sst>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164" fontId="3" fillId="33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3" fillId="0" borderId="10" xfId="164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4" applyFont="1" applyFill="1" applyBorder="1" applyAlignment="1" applyProtection="1">
      <alignment horizontal="center" vertical="top" wrapText="1"/>
      <protection/>
    </xf>
    <xf numFmtId="9" fontId="3" fillId="0" borderId="17" xfId="164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Обычный 98" xfId="158"/>
    <cellStyle name="Обычный 99" xfId="159"/>
    <cellStyle name="Плохой" xfId="160"/>
    <cellStyle name="Пояснение" xfId="161"/>
    <cellStyle name="Примечание" xfId="162"/>
    <cellStyle name="Percent" xfId="163"/>
    <cellStyle name="Процентный 2" xfId="164"/>
    <cellStyle name="Процентный 2 2" xfId="165"/>
    <cellStyle name="Связанная ячейка" xfId="166"/>
    <cellStyle name="Текст предупреждения" xfId="167"/>
    <cellStyle name="Comma" xfId="168"/>
    <cellStyle name="Comma [0]" xfId="169"/>
    <cellStyle name="Финансовый 2" xfId="170"/>
    <cellStyle name="Финансовый 3" xfId="171"/>
    <cellStyle name="Хороший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90" zoomScaleNormal="90" zoomScalePageLayoutView="0" workbookViewId="0" topLeftCell="A1">
      <pane xSplit="3" ySplit="4" topLeftCell="E7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77" sqref="G77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64.375" style="14" customWidth="1"/>
    <col min="4" max="4" width="15.75390625" style="17" customWidth="1"/>
    <col min="5" max="5" width="14.375" style="14" bestFit="1" customWidth="1"/>
    <col min="6" max="6" width="13.875" style="14" customWidth="1"/>
    <col min="7" max="7" width="13.875" style="17" bestFit="1" customWidth="1"/>
    <col min="8" max="8" width="14.875" style="53" customWidth="1"/>
    <col min="9" max="9" width="14.125" style="53" customWidth="1"/>
    <col min="10" max="10" width="13.375" style="36" customWidth="1"/>
    <col min="11" max="11" width="15.00390625" style="36" customWidth="1"/>
    <col min="12" max="12" width="14.25390625" style="14" customWidth="1"/>
    <col min="13" max="13" width="14.125" style="14" customWidth="1"/>
    <col min="14" max="14" width="11.625" style="14" customWidth="1"/>
    <col min="15" max="15" width="11.00390625" style="14" customWidth="1"/>
    <col min="16" max="16" width="11.125" style="14" customWidth="1"/>
    <col min="17" max="17" width="12.75390625" style="14" customWidth="1"/>
    <col min="18" max="18" width="9.125" style="14" customWidth="1"/>
    <col min="19" max="19" width="15.625" style="14" bestFit="1" customWidth="1"/>
    <col min="20" max="16384" width="9.125" style="14" customWidth="1"/>
  </cols>
  <sheetData>
    <row r="1" spans="1:17" ht="20.25" customHeight="1">
      <c r="A1" s="151" t="s">
        <v>95</v>
      </c>
      <c r="B1" s="151"/>
      <c r="C1" s="151"/>
      <c r="D1" s="152"/>
      <c r="E1" s="151"/>
      <c r="F1" s="151"/>
      <c r="G1" s="152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20.25" customHeight="1">
      <c r="A2" s="12"/>
      <c r="B2" s="54"/>
      <c r="C2" s="55"/>
      <c r="D2" s="56"/>
      <c r="E2" s="55"/>
      <c r="F2" s="94"/>
      <c r="G2" s="56"/>
      <c r="H2" s="57"/>
      <c r="I2" s="58"/>
      <c r="J2" s="58"/>
      <c r="K2" s="99"/>
      <c r="L2" s="55"/>
      <c r="M2" s="55"/>
      <c r="N2" s="59"/>
      <c r="O2" s="59"/>
      <c r="P2" s="59"/>
      <c r="Q2" s="11" t="s">
        <v>0</v>
      </c>
    </row>
    <row r="3" spans="1:17" ht="20.25" customHeight="1">
      <c r="A3" s="153" t="s">
        <v>1</v>
      </c>
      <c r="B3" s="122" t="s">
        <v>2</v>
      </c>
      <c r="C3" s="154" t="s">
        <v>3</v>
      </c>
      <c r="D3" s="159" t="s">
        <v>108</v>
      </c>
      <c r="E3" s="156" t="s">
        <v>96</v>
      </c>
      <c r="F3" s="157"/>
      <c r="G3" s="126"/>
      <c r="H3" s="123" t="s">
        <v>97</v>
      </c>
      <c r="I3" s="124"/>
      <c r="J3" s="60"/>
      <c r="K3" s="100"/>
      <c r="L3" s="125" t="s">
        <v>94</v>
      </c>
      <c r="M3" s="126"/>
      <c r="N3" s="161" t="s">
        <v>100</v>
      </c>
      <c r="O3" s="158" t="s">
        <v>90</v>
      </c>
      <c r="P3" s="162" t="s">
        <v>102</v>
      </c>
      <c r="Q3" s="144" t="s">
        <v>88</v>
      </c>
    </row>
    <row r="4" spans="1:17" ht="61.5" customHeight="1">
      <c r="A4" s="153"/>
      <c r="B4" s="122"/>
      <c r="C4" s="155"/>
      <c r="D4" s="160"/>
      <c r="E4" s="61" t="s">
        <v>103</v>
      </c>
      <c r="F4" s="93" t="s">
        <v>105</v>
      </c>
      <c r="G4" s="61" t="s">
        <v>106</v>
      </c>
      <c r="H4" s="62" t="s">
        <v>109</v>
      </c>
      <c r="I4" s="61" t="s">
        <v>106</v>
      </c>
      <c r="J4" s="63" t="s">
        <v>98</v>
      </c>
      <c r="K4" s="93" t="s">
        <v>101</v>
      </c>
      <c r="L4" s="61" t="s">
        <v>99</v>
      </c>
      <c r="M4" s="61" t="s">
        <v>107</v>
      </c>
      <c r="N4" s="161"/>
      <c r="O4" s="158"/>
      <c r="P4" s="163"/>
      <c r="Q4" s="144"/>
    </row>
    <row r="5" spans="1:19" s="43" customFormat="1" ht="25.5" customHeight="1">
      <c r="A5" s="48"/>
      <c r="B5" s="72"/>
      <c r="C5" s="49" t="s">
        <v>4</v>
      </c>
      <c r="D5" s="40">
        <f>D16+D18+D20+D17+D19</f>
        <v>2606615.53</v>
      </c>
      <c r="E5" s="40">
        <f>E16+E18+E20+E17+E19</f>
        <v>22907468.7</v>
      </c>
      <c r="F5" s="40">
        <f>F16+F18+F20+F17+F19</f>
        <v>3852347.3000000003</v>
      </c>
      <c r="G5" s="40">
        <f>G16+G18+G20+G17+G19</f>
        <v>1100687.9</v>
      </c>
      <c r="H5" s="40">
        <f>H16+H18+H20+H17+H19</f>
        <v>3967107.8600000003</v>
      </c>
      <c r="I5" s="40">
        <f>I16+I18+I20+I17+I19</f>
        <v>1231897.6099999999</v>
      </c>
      <c r="J5" s="41">
        <f aca="true" t="shared" si="0" ref="J5:J36">H5-D5</f>
        <v>1360492.3300000005</v>
      </c>
      <c r="K5" s="41">
        <f>H5-F5</f>
        <v>114760.56000000006</v>
      </c>
      <c r="L5" s="41">
        <f>H5-E5</f>
        <v>-18940360.84</v>
      </c>
      <c r="M5" s="41">
        <f>I5-G5</f>
        <v>131209.70999999996</v>
      </c>
      <c r="N5" s="50">
        <f aca="true" t="shared" si="1" ref="N5:N36">_xlfn.IFERROR(H5/D5,"")</f>
        <v>1.5219382430365558</v>
      </c>
      <c r="O5" s="50">
        <f>_xlfn.IFERROR(I5/G5,"")</f>
        <v>1.1192070068181907</v>
      </c>
      <c r="P5" s="50">
        <f>_xlfn.IFERROR(H5/F5,"")</f>
        <v>1.0297897751846</v>
      </c>
      <c r="Q5" s="50">
        <f>_xlfn.IFERROR(H5/E5,"")</f>
        <v>0.17317966956340317</v>
      </c>
      <c r="R5" s="14"/>
      <c r="S5" s="51"/>
    </row>
    <row r="6" spans="1:18" ht="18" customHeight="1">
      <c r="A6" s="133" t="s">
        <v>8</v>
      </c>
      <c r="B6" s="44" t="s">
        <v>9</v>
      </c>
      <c r="C6" s="73" t="s">
        <v>10</v>
      </c>
      <c r="D6" s="31">
        <v>1996386.5899999999</v>
      </c>
      <c r="E6" s="31">
        <v>17657445.4</v>
      </c>
      <c r="F6" s="113">
        <f>2711983.9+127329.1</f>
        <v>2839313</v>
      </c>
      <c r="G6" s="112">
        <f>784721.4+127329.1</f>
        <v>912050.5</v>
      </c>
      <c r="H6" s="31">
        <v>3033940.39</v>
      </c>
      <c r="I6" s="31">
        <v>1009286.6900000001</v>
      </c>
      <c r="J6" s="31">
        <f t="shared" si="0"/>
        <v>1037553.8000000003</v>
      </c>
      <c r="K6" s="31">
        <f aca="true" t="shared" si="2" ref="K6:K69">H6-F6</f>
        <v>194627.39000000013</v>
      </c>
      <c r="L6" s="31">
        <f aca="true" t="shared" si="3" ref="L6:L36">H6-E6</f>
        <v>-14623505.009999998</v>
      </c>
      <c r="M6" s="31">
        <f aca="true" t="shared" si="4" ref="M6:M36">I6-G6</f>
        <v>97236.19000000006</v>
      </c>
      <c r="N6" s="32">
        <f t="shared" si="1"/>
        <v>1.5197158732668108</v>
      </c>
      <c r="O6" s="32">
        <f aca="true" t="shared" si="5" ref="O6:O36">_xlfn.IFERROR(I6/G6,"")</f>
        <v>1.106612725940066</v>
      </c>
      <c r="P6" s="32">
        <f aca="true" t="shared" si="6" ref="P6:P69">_xlfn.IFERROR(H6/F6,"")</f>
        <v>1.0685473528279552</v>
      </c>
      <c r="Q6" s="32">
        <f aca="true" t="shared" si="7" ref="Q6:Q44">_xlfn.IFERROR(H6/E6,"")</f>
        <v>0.17182215894038672</v>
      </c>
      <c r="R6" s="15"/>
    </row>
    <row r="7" spans="1:18" ht="18" customHeight="1">
      <c r="A7" s="128"/>
      <c r="B7" s="44" t="s">
        <v>5</v>
      </c>
      <c r="C7" s="74" t="s">
        <v>6</v>
      </c>
      <c r="D7" s="31">
        <v>18429.57</v>
      </c>
      <c r="E7" s="33">
        <v>79229.2</v>
      </c>
      <c r="F7" s="96">
        <v>19255.699999999997</v>
      </c>
      <c r="G7" s="33">
        <v>10127.3</v>
      </c>
      <c r="H7" s="31">
        <v>19604.32</v>
      </c>
      <c r="I7" s="31">
        <v>6208.6</v>
      </c>
      <c r="J7" s="33">
        <f t="shared" si="0"/>
        <v>1174.75</v>
      </c>
      <c r="K7" s="33">
        <f t="shared" si="2"/>
        <v>348.6200000000026</v>
      </c>
      <c r="L7" s="33">
        <f t="shared" si="3"/>
        <v>-59624.88</v>
      </c>
      <c r="M7" s="33">
        <f t="shared" si="4"/>
        <v>-3918.699999999999</v>
      </c>
      <c r="N7" s="32">
        <f t="shared" si="1"/>
        <v>1.0637426700677226</v>
      </c>
      <c r="O7" s="32">
        <f t="shared" si="5"/>
        <v>0.6130557996701984</v>
      </c>
      <c r="P7" s="32">
        <f t="shared" si="6"/>
        <v>1.0181047689774978</v>
      </c>
      <c r="Q7" s="32">
        <f t="shared" si="7"/>
        <v>0.24743806576363261</v>
      </c>
      <c r="R7" s="15"/>
    </row>
    <row r="8" spans="1:18" ht="18" customHeight="1">
      <c r="A8" s="128"/>
      <c r="B8" s="44" t="s">
        <v>9</v>
      </c>
      <c r="C8" s="111" t="s">
        <v>82</v>
      </c>
      <c r="D8" s="112">
        <f>159669.84/12*10</f>
        <v>133058.2</v>
      </c>
      <c r="E8" s="30">
        <v>957429</v>
      </c>
      <c r="F8" s="95">
        <v>170697.6</v>
      </c>
      <c r="G8" s="30">
        <v>137368.1</v>
      </c>
      <c r="H8" s="31">
        <v>174109.40999999997</v>
      </c>
      <c r="I8" s="31">
        <v>160810.72</v>
      </c>
      <c r="J8" s="31">
        <f t="shared" si="0"/>
        <v>41051.20999999996</v>
      </c>
      <c r="K8" s="31">
        <f t="shared" si="2"/>
        <v>3411.8099999999686</v>
      </c>
      <c r="L8" s="31">
        <f t="shared" si="3"/>
        <v>-783319.5900000001</v>
      </c>
      <c r="M8" s="31">
        <f t="shared" si="4"/>
        <v>23442.619999999995</v>
      </c>
      <c r="N8" s="32">
        <f t="shared" si="1"/>
        <v>1.3085207074798844</v>
      </c>
      <c r="O8" s="32">
        <f t="shared" si="5"/>
        <v>1.170655486972594</v>
      </c>
      <c r="P8" s="32">
        <f t="shared" si="6"/>
        <v>1.0199874514931666</v>
      </c>
      <c r="Q8" s="32">
        <f t="shared" si="7"/>
        <v>0.18185098842838474</v>
      </c>
      <c r="R8" s="15"/>
    </row>
    <row r="9" spans="1:18" ht="18" customHeight="1">
      <c r="A9" s="128"/>
      <c r="B9" s="44" t="s">
        <v>9</v>
      </c>
      <c r="C9" s="73" t="s">
        <v>11</v>
      </c>
      <c r="D9" s="31">
        <v>-3643.4100000000003</v>
      </c>
      <c r="E9" s="31">
        <v>0</v>
      </c>
      <c r="F9" s="95"/>
      <c r="G9" s="31"/>
      <c r="H9" s="31">
        <v>205.89000000000001</v>
      </c>
      <c r="I9" s="31">
        <v>59.9</v>
      </c>
      <c r="J9" s="31">
        <f t="shared" si="0"/>
        <v>3849.3</v>
      </c>
      <c r="K9" s="31">
        <f t="shared" si="2"/>
        <v>205.89000000000001</v>
      </c>
      <c r="L9" s="31">
        <f t="shared" si="3"/>
        <v>205.89000000000001</v>
      </c>
      <c r="M9" s="31">
        <f t="shared" si="4"/>
        <v>59.9</v>
      </c>
      <c r="N9" s="32">
        <f t="shared" si="1"/>
        <v>-0.05651024726835574</v>
      </c>
      <c r="O9" s="32">
        <f t="shared" si="5"/>
      </c>
      <c r="P9" s="32">
        <f t="shared" si="6"/>
      </c>
      <c r="Q9" s="32">
        <f t="shared" si="7"/>
      </c>
      <c r="R9" s="15"/>
    </row>
    <row r="10" spans="1:18" ht="18" customHeight="1">
      <c r="A10" s="128"/>
      <c r="B10" s="44" t="s">
        <v>9</v>
      </c>
      <c r="C10" s="73" t="s">
        <v>12</v>
      </c>
      <c r="D10" s="31">
        <v>45.63</v>
      </c>
      <c r="E10" s="31">
        <v>792.3</v>
      </c>
      <c r="F10" s="95">
        <v>310</v>
      </c>
      <c r="G10" s="31">
        <v>300</v>
      </c>
      <c r="H10" s="31">
        <v>729.1800000000001</v>
      </c>
      <c r="I10" s="31">
        <v>687.3199999999999</v>
      </c>
      <c r="J10" s="31">
        <f t="shared" si="0"/>
        <v>683.5500000000001</v>
      </c>
      <c r="K10" s="31">
        <f t="shared" si="2"/>
        <v>419.18000000000006</v>
      </c>
      <c r="L10" s="31">
        <f t="shared" si="3"/>
        <v>-63.11999999999989</v>
      </c>
      <c r="M10" s="31">
        <f t="shared" si="4"/>
        <v>387.31999999999994</v>
      </c>
      <c r="N10" s="32">
        <f t="shared" si="1"/>
        <v>15.980276134122288</v>
      </c>
      <c r="O10" s="32">
        <f t="shared" si="5"/>
        <v>2.2910666666666666</v>
      </c>
      <c r="P10" s="32">
        <f t="shared" si="6"/>
        <v>2.352193548387097</v>
      </c>
      <c r="Q10" s="32">
        <f t="shared" si="7"/>
        <v>0.9203332071185159</v>
      </c>
      <c r="R10" s="15"/>
    </row>
    <row r="11" spans="1:18" ht="18" customHeight="1">
      <c r="A11" s="128"/>
      <c r="B11" s="44" t="s">
        <v>9</v>
      </c>
      <c r="C11" s="73" t="s">
        <v>84</v>
      </c>
      <c r="D11" s="31">
        <v>-38115.770000000004</v>
      </c>
      <c r="E11" s="31">
        <v>354934.4</v>
      </c>
      <c r="F11" s="95">
        <v>191059.3</v>
      </c>
      <c r="G11" s="31">
        <v>2000</v>
      </c>
      <c r="H11" s="31">
        <v>165432.44</v>
      </c>
      <c r="I11" s="31">
        <v>1889.1099999999997</v>
      </c>
      <c r="J11" s="31">
        <f t="shared" si="0"/>
        <v>203548.21000000002</v>
      </c>
      <c r="K11" s="31">
        <f t="shared" si="2"/>
        <v>-25626.859999999986</v>
      </c>
      <c r="L11" s="31">
        <f t="shared" si="3"/>
        <v>-189501.96000000002</v>
      </c>
      <c r="M11" s="31">
        <f t="shared" si="4"/>
        <v>-110.89000000000033</v>
      </c>
      <c r="N11" s="32">
        <f t="shared" si="1"/>
        <v>-4.340262311374006</v>
      </c>
      <c r="O11" s="32">
        <f t="shared" si="5"/>
        <v>0.9445549999999998</v>
      </c>
      <c r="P11" s="32">
        <f t="shared" si="6"/>
        <v>0.8658696017414489</v>
      </c>
      <c r="Q11" s="32">
        <f t="shared" si="7"/>
        <v>0.46609300197444936</v>
      </c>
      <c r="R11" s="15"/>
    </row>
    <row r="12" spans="1:18" ht="18" customHeight="1">
      <c r="A12" s="128"/>
      <c r="B12" s="44" t="s">
        <v>13</v>
      </c>
      <c r="C12" s="73" t="s">
        <v>14</v>
      </c>
      <c r="D12" s="31">
        <v>16499.66</v>
      </c>
      <c r="E12" s="31">
        <v>1250550.2</v>
      </c>
      <c r="F12" s="95">
        <v>51000</v>
      </c>
      <c r="G12" s="31">
        <v>11000</v>
      </c>
      <c r="H12" s="31">
        <v>47165.93</v>
      </c>
      <c r="I12" s="31">
        <v>5336.16</v>
      </c>
      <c r="J12" s="31">
        <f t="shared" si="0"/>
        <v>30666.27</v>
      </c>
      <c r="K12" s="31">
        <f t="shared" si="2"/>
        <v>-3834.0699999999997</v>
      </c>
      <c r="L12" s="31">
        <f t="shared" si="3"/>
        <v>-1203384.27</v>
      </c>
      <c r="M12" s="31">
        <f t="shared" si="4"/>
        <v>-5663.84</v>
      </c>
      <c r="N12" s="32">
        <f t="shared" si="1"/>
        <v>2.8586001166084634</v>
      </c>
      <c r="O12" s="32">
        <f t="shared" si="5"/>
        <v>0.4851054545454545</v>
      </c>
      <c r="P12" s="32">
        <f t="shared" si="6"/>
        <v>0.924822156862745</v>
      </c>
      <c r="Q12" s="32">
        <f t="shared" si="7"/>
        <v>0.03771614286255762</v>
      </c>
      <c r="R12" s="15"/>
    </row>
    <row r="13" spans="1:18" ht="18" customHeight="1">
      <c r="A13" s="128"/>
      <c r="B13" s="44" t="s">
        <v>13</v>
      </c>
      <c r="C13" s="73" t="s">
        <v>15</v>
      </c>
      <c r="D13" s="31">
        <v>441071.14</v>
      </c>
      <c r="E13" s="31">
        <v>2382735.3000000003</v>
      </c>
      <c r="F13" s="95">
        <v>528327</v>
      </c>
      <c r="G13" s="31">
        <v>5602</v>
      </c>
      <c r="H13" s="31">
        <v>475366.58</v>
      </c>
      <c r="I13" s="31">
        <v>30357.91</v>
      </c>
      <c r="J13" s="31">
        <f t="shared" si="0"/>
        <v>34295.44</v>
      </c>
      <c r="K13" s="31">
        <f t="shared" si="2"/>
        <v>-52960.419999999984</v>
      </c>
      <c r="L13" s="31">
        <f t="shared" si="3"/>
        <v>-1907368.7200000002</v>
      </c>
      <c r="M13" s="31">
        <f t="shared" si="4"/>
        <v>24755.91</v>
      </c>
      <c r="N13" s="32">
        <f t="shared" si="1"/>
        <v>1.0777548945959148</v>
      </c>
      <c r="O13" s="32">
        <f t="shared" si="5"/>
        <v>5.419119957158157</v>
      </c>
      <c r="P13" s="32">
        <f t="shared" si="6"/>
        <v>0.8997582557771986</v>
      </c>
      <c r="Q13" s="32">
        <f t="shared" si="7"/>
        <v>0.19950456939132097</v>
      </c>
      <c r="R13" s="15"/>
    </row>
    <row r="14" spans="1:18" ht="18" customHeight="1">
      <c r="A14" s="128"/>
      <c r="B14" s="44" t="s">
        <v>16</v>
      </c>
      <c r="C14" s="73" t="s">
        <v>17</v>
      </c>
      <c r="D14" s="31">
        <v>42792.42</v>
      </c>
      <c r="E14" s="31">
        <v>223881.6</v>
      </c>
      <c r="F14" s="95">
        <v>52275.600000000006</v>
      </c>
      <c r="G14" s="31">
        <v>22205.2</v>
      </c>
      <c r="H14" s="31">
        <v>50518.119999999995</v>
      </c>
      <c r="I14" s="31">
        <v>17250.8</v>
      </c>
      <c r="J14" s="31">
        <f t="shared" si="0"/>
        <v>7725.699999999997</v>
      </c>
      <c r="K14" s="31">
        <f t="shared" si="2"/>
        <v>-1757.4800000000105</v>
      </c>
      <c r="L14" s="31">
        <f t="shared" si="3"/>
        <v>-173363.48</v>
      </c>
      <c r="M14" s="31">
        <f t="shared" si="4"/>
        <v>-4954.4000000000015</v>
      </c>
      <c r="N14" s="32">
        <f t="shared" si="1"/>
        <v>1.1805389833059219</v>
      </c>
      <c r="O14" s="32">
        <f t="shared" si="5"/>
        <v>0.7768810909156413</v>
      </c>
      <c r="P14" s="32">
        <f t="shared" si="6"/>
        <v>0.966380491089533</v>
      </c>
      <c r="Q14" s="32">
        <f t="shared" si="7"/>
        <v>0.2256465917699355</v>
      </c>
      <c r="R14" s="15"/>
    </row>
    <row r="15" spans="1:18" ht="18" customHeight="1">
      <c r="A15" s="128"/>
      <c r="B15" s="44" t="s">
        <v>13</v>
      </c>
      <c r="C15" s="73" t="s">
        <v>18</v>
      </c>
      <c r="D15" s="31">
        <v>-0.1</v>
      </c>
      <c r="E15" s="31">
        <v>0</v>
      </c>
      <c r="F15" s="95"/>
      <c r="G15" s="31">
        <v>0</v>
      </c>
      <c r="H15" s="31">
        <v>0</v>
      </c>
      <c r="I15" s="31">
        <v>0</v>
      </c>
      <c r="J15" s="31">
        <f t="shared" si="0"/>
        <v>0.1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2">
        <f t="shared" si="1"/>
        <v>0</v>
      </c>
      <c r="O15" s="32">
        <f t="shared" si="5"/>
      </c>
      <c r="P15" s="32">
        <f t="shared" si="6"/>
      </c>
      <c r="Q15" s="32">
        <f t="shared" si="7"/>
      </c>
      <c r="R15" s="15"/>
    </row>
    <row r="16" spans="1:18" ht="18" customHeight="1">
      <c r="A16" s="129"/>
      <c r="B16" s="64"/>
      <c r="C16" s="75" t="s">
        <v>7</v>
      </c>
      <c r="D16" s="65">
        <f>SUM(D6:D15)</f>
        <v>2606523.9299999997</v>
      </c>
      <c r="E16" s="65">
        <f>SUM(E6:E15)</f>
        <v>22906997.4</v>
      </c>
      <c r="F16" s="65">
        <f>SUM(F6:F15)</f>
        <v>3852238.2</v>
      </c>
      <c r="G16" s="65">
        <f>SUM(G6:G15)</f>
        <v>1100653.1</v>
      </c>
      <c r="H16" s="65">
        <f>SUM(H6:H15)</f>
        <v>3967072.2600000007</v>
      </c>
      <c r="I16" s="65">
        <f>SUM(I6:I15)</f>
        <v>1231887.21</v>
      </c>
      <c r="J16" s="65">
        <f>SUM(J6:J15)</f>
        <v>1360548.3300000003</v>
      </c>
      <c r="K16" s="65">
        <f t="shared" si="2"/>
        <v>114834.06000000052</v>
      </c>
      <c r="L16" s="65">
        <f t="shared" si="3"/>
        <v>-18939925.139999997</v>
      </c>
      <c r="M16" s="65">
        <f t="shared" si="4"/>
        <v>131234.10999999987</v>
      </c>
      <c r="N16" s="66">
        <f t="shared" si="1"/>
        <v>1.5219780698502934</v>
      </c>
      <c r="O16" s="66">
        <f t="shared" si="5"/>
        <v>1.1192329445126714</v>
      </c>
      <c r="P16" s="66">
        <f t="shared" si="6"/>
        <v>1.029809698683742</v>
      </c>
      <c r="Q16" s="66">
        <f t="shared" si="7"/>
        <v>0.17318167853810473</v>
      </c>
      <c r="R16" s="15"/>
    </row>
    <row r="17" spans="1:18" ht="18" customHeight="1">
      <c r="A17" s="45" t="s">
        <v>69</v>
      </c>
      <c r="B17" s="44" t="s">
        <v>20</v>
      </c>
      <c r="C17" s="73" t="s">
        <v>21</v>
      </c>
      <c r="D17" s="31">
        <v>20</v>
      </c>
      <c r="E17" s="31">
        <v>88</v>
      </c>
      <c r="F17" s="95">
        <v>22</v>
      </c>
      <c r="G17" s="31">
        <v>7.4</v>
      </c>
      <c r="H17" s="31">
        <v>4.8</v>
      </c>
      <c r="I17" s="31">
        <v>0</v>
      </c>
      <c r="J17" s="31">
        <f t="shared" si="0"/>
        <v>-15.2</v>
      </c>
      <c r="K17" s="31">
        <f t="shared" si="2"/>
        <v>-17.2</v>
      </c>
      <c r="L17" s="31">
        <f t="shared" si="3"/>
        <v>-83.2</v>
      </c>
      <c r="M17" s="31">
        <f t="shared" si="4"/>
        <v>-7.4</v>
      </c>
      <c r="N17" s="32">
        <f t="shared" si="1"/>
        <v>0.24</v>
      </c>
      <c r="O17" s="32">
        <f t="shared" si="5"/>
        <v>0</v>
      </c>
      <c r="P17" s="32">
        <f t="shared" si="6"/>
        <v>0.21818181818181817</v>
      </c>
      <c r="Q17" s="32">
        <f t="shared" si="7"/>
        <v>0.05454545454545454</v>
      </c>
      <c r="R17" s="15"/>
    </row>
    <row r="18" spans="1:18" ht="18.75" customHeight="1">
      <c r="A18" s="89" t="s">
        <v>19</v>
      </c>
      <c r="B18" s="90" t="s">
        <v>20</v>
      </c>
      <c r="C18" s="88" t="s">
        <v>83</v>
      </c>
      <c r="D18" s="31">
        <v>34.4</v>
      </c>
      <c r="E18" s="31">
        <v>328.3</v>
      </c>
      <c r="F18" s="95">
        <v>82.1</v>
      </c>
      <c r="G18" s="31">
        <v>27.4</v>
      </c>
      <c r="H18" s="31">
        <v>20.8</v>
      </c>
      <c r="I18" s="31">
        <v>10.4</v>
      </c>
      <c r="J18" s="31">
        <f t="shared" si="0"/>
        <v>-13.599999999999998</v>
      </c>
      <c r="K18" s="31">
        <f t="shared" si="2"/>
        <v>-61.3</v>
      </c>
      <c r="L18" s="31">
        <f t="shared" si="3"/>
        <v>-307.5</v>
      </c>
      <c r="M18" s="31">
        <f t="shared" si="4"/>
        <v>-17</v>
      </c>
      <c r="N18" s="32">
        <f t="shared" si="1"/>
        <v>0.6046511627906977</v>
      </c>
      <c r="O18" s="32">
        <f t="shared" si="5"/>
        <v>0.3795620437956205</v>
      </c>
      <c r="P18" s="32">
        <f t="shared" si="6"/>
        <v>0.2533495736906212</v>
      </c>
      <c r="Q18" s="32">
        <f t="shared" si="7"/>
        <v>0.06335668595796527</v>
      </c>
      <c r="R18" s="15"/>
    </row>
    <row r="19" spans="1:18" ht="35.25" customHeight="1">
      <c r="A19" s="46" t="s">
        <v>23</v>
      </c>
      <c r="B19" s="47" t="s">
        <v>71</v>
      </c>
      <c r="C19" s="73" t="s">
        <v>24</v>
      </c>
      <c r="D19" s="31">
        <v>27.2</v>
      </c>
      <c r="E19" s="31">
        <v>0</v>
      </c>
      <c r="F19" s="95">
        <v>0</v>
      </c>
      <c r="G19" s="31">
        <v>0</v>
      </c>
      <c r="H19" s="31">
        <v>0</v>
      </c>
      <c r="I19" s="31">
        <v>0</v>
      </c>
      <c r="J19" s="31">
        <f t="shared" si="0"/>
        <v>-27.2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2">
        <f t="shared" si="1"/>
        <v>0</v>
      </c>
      <c r="O19" s="32">
        <f t="shared" si="5"/>
      </c>
      <c r="P19" s="32">
        <f t="shared" si="6"/>
      </c>
      <c r="Q19" s="32">
        <f t="shared" si="7"/>
      </c>
      <c r="R19" s="15"/>
    </row>
    <row r="20" spans="1:18" ht="18" customHeight="1">
      <c r="A20" s="45" t="s">
        <v>22</v>
      </c>
      <c r="B20" s="44" t="s">
        <v>9</v>
      </c>
      <c r="C20" s="73" t="s">
        <v>73</v>
      </c>
      <c r="D20" s="31">
        <v>10</v>
      </c>
      <c r="E20" s="31">
        <v>55</v>
      </c>
      <c r="F20" s="95">
        <v>5</v>
      </c>
      <c r="G20" s="31">
        <v>0</v>
      </c>
      <c r="H20" s="31">
        <v>10</v>
      </c>
      <c r="I20" s="31">
        <v>0</v>
      </c>
      <c r="J20" s="31">
        <f t="shared" si="0"/>
        <v>0</v>
      </c>
      <c r="K20" s="31">
        <f t="shared" si="2"/>
        <v>5</v>
      </c>
      <c r="L20" s="31">
        <f t="shared" si="3"/>
        <v>-45</v>
      </c>
      <c r="M20" s="31">
        <f t="shared" si="4"/>
        <v>0</v>
      </c>
      <c r="N20" s="32">
        <f t="shared" si="1"/>
        <v>1</v>
      </c>
      <c r="O20" s="32">
        <f t="shared" si="5"/>
      </c>
      <c r="P20" s="32">
        <f t="shared" si="6"/>
        <v>2</v>
      </c>
      <c r="Q20" s="32">
        <f t="shared" si="7"/>
        <v>0.18181818181818182</v>
      </c>
      <c r="R20" s="15"/>
    </row>
    <row r="21" spans="1:18" s="43" customFormat="1" ht="28.5" customHeight="1">
      <c r="A21" s="134"/>
      <c r="B21" s="134"/>
      <c r="C21" s="42" t="s">
        <v>25</v>
      </c>
      <c r="D21" s="41">
        <f>D25+D28+D36+D48+D50+D55+D58+D61+D70</f>
        <v>1680054.27</v>
      </c>
      <c r="E21" s="41">
        <f>E25+E28+E36+E48+E50+E55+E58+E61+E70</f>
        <v>7267443.6</v>
      </c>
      <c r="F21" s="41">
        <f>F25+F28+F36+F48+F50+F55+F58+F61+F70</f>
        <v>1820595.7</v>
      </c>
      <c r="G21" s="41">
        <f>G25+G28+G36+G48+G50+G55+G58+G61+G70</f>
        <v>857294.2999999999</v>
      </c>
      <c r="H21" s="41">
        <f>H25+H28+H36+H48+H50+H55+H58+H61+H70</f>
        <v>1865980.1100000003</v>
      </c>
      <c r="I21" s="41">
        <f>I25+I28+I36+I48+I50+I55+I58+I61+I70</f>
        <v>597463.4999999999</v>
      </c>
      <c r="J21" s="41">
        <f>J25+J28+J36+J48+J50+J55+J58+J61+J70</f>
        <v>185925.8400000003</v>
      </c>
      <c r="K21" s="41">
        <f t="shared" si="2"/>
        <v>45384.41000000038</v>
      </c>
      <c r="L21" s="41">
        <f t="shared" si="3"/>
        <v>-5401463.489999999</v>
      </c>
      <c r="M21" s="41">
        <f t="shared" si="4"/>
        <v>-259830.80000000005</v>
      </c>
      <c r="N21" s="50">
        <f t="shared" si="1"/>
        <v>1.110666567931761</v>
      </c>
      <c r="O21" s="50">
        <f t="shared" si="5"/>
        <v>0.6969176162724982</v>
      </c>
      <c r="P21" s="50">
        <f t="shared" si="6"/>
        <v>1.024928329776897</v>
      </c>
      <c r="Q21" s="50">
        <f t="shared" si="7"/>
        <v>0.2567588016782133</v>
      </c>
      <c r="R21" s="51"/>
    </row>
    <row r="22" spans="1:17" ht="18" customHeight="1">
      <c r="A22" s="127" t="s">
        <v>23</v>
      </c>
      <c r="B22" s="130" t="s">
        <v>71</v>
      </c>
      <c r="C22" s="18" t="s">
        <v>85</v>
      </c>
      <c r="D22" s="19">
        <v>37276.31</v>
      </c>
      <c r="E22" s="1">
        <v>209447.5</v>
      </c>
      <c r="F22" s="97">
        <v>48697.600000000006</v>
      </c>
      <c r="G22" s="1">
        <v>16899.2</v>
      </c>
      <c r="H22" s="28">
        <v>50552.159999999996</v>
      </c>
      <c r="I22" s="28">
        <v>18119.780000000002</v>
      </c>
      <c r="J22" s="2">
        <f t="shared" si="0"/>
        <v>13275.849999999999</v>
      </c>
      <c r="K22" s="2">
        <f t="shared" si="2"/>
        <v>1854.5599999999904</v>
      </c>
      <c r="L22" s="2">
        <f t="shared" si="3"/>
        <v>-158895.34</v>
      </c>
      <c r="M22" s="2">
        <f t="shared" si="4"/>
        <v>1220.5800000000017</v>
      </c>
      <c r="N22" s="13">
        <f t="shared" si="1"/>
        <v>1.3561471079084813</v>
      </c>
      <c r="O22" s="13">
        <f t="shared" si="5"/>
        <v>1.0722270876727893</v>
      </c>
      <c r="P22" s="13">
        <f t="shared" si="6"/>
        <v>1.0380831909580757</v>
      </c>
      <c r="Q22" s="13">
        <f t="shared" si="7"/>
        <v>0.24135957698229865</v>
      </c>
    </row>
    <row r="23" spans="1:17" ht="18" customHeight="1">
      <c r="A23" s="128"/>
      <c r="B23" s="131"/>
      <c r="C23" s="18" t="s">
        <v>26</v>
      </c>
      <c r="D23" s="19">
        <v>9834.5</v>
      </c>
      <c r="E23" s="1">
        <v>4501.5</v>
      </c>
      <c r="F23" s="97">
        <v>0</v>
      </c>
      <c r="G23" s="1">
        <v>0</v>
      </c>
      <c r="H23" s="28">
        <v>1715</v>
      </c>
      <c r="I23" s="28">
        <v>0</v>
      </c>
      <c r="J23" s="2">
        <f t="shared" si="0"/>
        <v>-8119.5</v>
      </c>
      <c r="K23" s="2">
        <f t="shared" si="2"/>
        <v>1715</v>
      </c>
      <c r="L23" s="2">
        <f t="shared" si="3"/>
        <v>-2786.5</v>
      </c>
      <c r="M23" s="2">
        <f t="shared" si="4"/>
        <v>0</v>
      </c>
      <c r="N23" s="13">
        <f t="shared" si="1"/>
        <v>0.1743860897859576</v>
      </c>
      <c r="O23" s="13">
        <f t="shared" si="5"/>
      </c>
      <c r="P23" s="13">
        <f t="shared" si="6"/>
      </c>
      <c r="Q23" s="13">
        <f t="shared" si="7"/>
        <v>0.38098411640564256</v>
      </c>
    </row>
    <row r="24" spans="1:17" ht="18" customHeight="1">
      <c r="A24" s="128"/>
      <c r="B24" s="131"/>
      <c r="C24" s="18" t="s">
        <v>47</v>
      </c>
      <c r="D24" s="19">
        <v>23915.250000000004</v>
      </c>
      <c r="E24" s="1">
        <v>126183.1</v>
      </c>
      <c r="F24" s="97">
        <v>30984.6</v>
      </c>
      <c r="G24" s="1">
        <v>10520</v>
      </c>
      <c r="H24" s="28">
        <v>34054.18000000001</v>
      </c>
      <c r="I24" s="28">
        <v>11942.030000000002</v>
      </c>
      <c r="J24" s="2">
        <f t="shared" si="0"/>
        <v>10138.930000000004</v>
      </c>
      <c r="K24" s="2">
        <f t="shared" si="2"/>
        <v>3069.580000000009</v>
      </c>
      <c r="L24" s="2">
        <f t="shared" si="3"/>
        <v>-92128.92</v>
      </c>
      <c r="M24" s="2">
        <f t="shared" si="4"/>
        <v>1422.0300000000025</v>
      </c>
      <c r="N24" s="13">
        <f t="shared" si="1"/>
        <v>1.4239524989285082</v>
      </c>
      <c r="O24" s="13">
        <f t="shared" si="5"/>
        <v>1.1351739543726238</v>
      </c>
      <c r="P24" s="13">
        <f t="shared" si="6"/>
        <v>1.099067924065504</v>
      </c>
      <c r="Q24" s="13">
        <f t="shared" si="7"/>
        <v>0.26987908840407315</v>
      </c>
    </row>
    <row r="25" spans="1:17" ht="18" customHeight="1">
      <c r="A25" s="129"/>
      <c r="B25" s="132"/>
      <c r="C25" s="75" t="s">
        <v>7</v>
      </c>
      <c r="D25" s="67">
        <f>SUM(D22:D24)</f>
        <v>71026.06</v>
      </c>
      <c r="E25" s="67">
        <f>SUM(E22:E24)</f>
        <v>340132.1</v>
      </c>
      <c r="F25" s="67">
        <f>SUM(F22:F24)</f>
        <v>79682.20000000001</v>
      </c>
      <c r="G25" s="67">
        <f>SUM(G22:G24)</f>
        <v>27419.2</v>
      </c>
      <c r="H25" s="67">
        <f>SUM(H22:H24)</f>
        <v>86321.34</v>
      </c>
      <c r="I25" s="67">
        <f>SUM(I22:I24)</f>
        <v>30061.810000000005</v>
      </c>
      <c r="J25" s="67">
        <f t="shared" si="0"/>
        <v>15295.279999999999</v>
      </c>
      <c r="K25" s="67">
        <f t="shared" si="2"/>
        <v>6639.139999999985</v>
      </c>
      <c r="L25" s="67">
        <f t="shared" si="3"/>
        <v>-253810.75999999998</v>
      </c>
      <c r="M25" s="67">
        <f t="shared" si="4"/>
        <v>2642.610000000004</v>
      </c>
      <c r="N25" s="21">
        <f t="shared" si="1"/>
        <v>1.2153474372645758</v>
      </c>
      <c r="O25" s="21">
        <f t="shared" si="5"/>
        <v>1.0963780854291885</v>
      </c>
      <c r="P25" s="21">
        <f t="shared" si="6"/>
        <v>1.0833202396520174</v>
      </c>
      <c r="Q25" s="21">
        <f t="shared" si="7"/>
        <v>0.25378769013568553</v>
      </c>
    </row>
    <row r="26" spans="1:17" ht="23.25" customHeight="1">
      <c r="A26" s="122">
        <v>951</v>
      </c>
      <c r="B26" s="122" t="s">
        <v>9</v>
      </c>
      <c r="C26" s="91" t="s">
        <v>27</v>
      </c>
      <c r="D26" s="19">
        <v>16961.13</v>
      </c>
      <c r="E26" s="1">
        <v>75335.1</v>
      </c>
      <c r="F26" s="97">
        <v>14669</v>
      </c>
      <c r="G26" s="1">
        <v>6278</v>
      </c>
      <c r="H26" s="28">
        <v>48389.58</v>
      </c>
      <c r="I26" s="28">
        <v>33000.58</v>
      </c>
      <c r="J26" s="1">
        <f t="shared" si="0"/>
        <v>31428.45</v>
      </c>
      <c r="K26" s="1">
        <f t="shared" si="2"/>
        <v>33720.58</v>
      </c>
      <c r="L26" s="1">
        <f t="shared" si="3"/>
        <v>-26945.520000000004</v>
      </c>
      <c r="M26" s="1">
        <f t="shared" si="4"/>
        <v>26722.58</v>
      </c>
      <c r="N26" s="13">
        <f t="shared" si="1"/>
        <v>2.852969112317399</v>
      </c>
      <c r="O26" s="13">
        <f t="shared" si="5"/>
        <v>5.2565434851863655</v>
      </c>
      <c r="P26" s="13">
        <f t="shared" si="6"/>
        <v>3.2987647419728683</v>
      </c>
      <c r="Q26" s="13">
        <f t="shared" si="7"/>
        <v>0.6423244941600926</v>
      </c>
    </row>
    <row r="27" spans="1:17" ht="22.5" customHeight="1">
      <c r="A27" s="122"/>
      <c r="B27" s="122"/>
      <c r="C27" s="92" t="s">
        <v>28</v>
      </c>
      <c r="D27" s="19">
        <v>2412.92</v>
      </c>
      <c r="E27" s="1">
        <v>13384.8</v>
      </c>
      <c r="F27" s="97">
        <v>1930</v>
      </c>
      <c r="G27" s="1">
        <v>1552.7</v>
      </c>
      <c r="H27" s="28">
        <v>4298.72</v>
      </c>
      <c r="I27" s="28">
        <v>2053.91</v>
      </c>
      <c r="J27" s="1">
        <f t="shared" si="0"/>
        <v>1885.8000000000002</v>
      </c>
      <c r="K27" s="1">
        <f t="shared" si="2"/>
        <v>2368.7200000000003</v>
      </c>
      <c r="L27" s="1">
        <f t="shared" si="3"/>
        <v>-9086.079999999998</v>
      </c>
      <c r="M27" s="1">
        <f t="shared" si="4"/>
        <v>501.2099999999998</v>
      </c>
      <c r="N27" s="13">
        <f t="shared" si="1"/>
        <v>1.7815426951577342</v>
      </c>
      <c r="O27" s="13">
        <f t="shared" si="5"/>
        <v>1.3227989952985122</v>
      </c>
      <c r="P27" s="13">
        <f t="shared" si="6"/>
        <v>2.227316062176166</v>
      </c>
      <c r="Q27" s="13">
        <f t="shared" si="7"/>
        <v>0.3211643057796904</v>
      </c>
    </row>
    <row r="28" spans="1:17" ht="15.75">
      <c r="A28" s="122"/>
      <c r="B28" s="122"/>
      <c r="C28" s="77" t="s">
        <v>7</v>
      </c>
      <c r="D28" s="67">
        <f>D26+D27</f>
        <v>19374.050000000003</v>
      </c>
      <c r="E28" s="67">
        <f>E26+E27</f>
        <v>88719.90000000001</v>
      </c>
      <c r="F28" s="67">
        <f>F26+F27</f>
        <v>16599</v>
      </c>
      <c r="G28" s="67">
        <f>G26+G27</f>
        <v>7830.7</v>
      </c>
      <c r="H28" s="67">
        <f>H26+H27</f>
        <v>52688.3</v>
      </c>
      <c r="I28" s="67">
        <f>I26+I27</f>
        <v>35054.490000000005</v>
      </c>
      <c r="J28" s="67">
        <f t="shared" si="0"/>
        <v>33314.25</v>
      </c>
      <c r="K28" s="67">
        <f t="shared" si="2"/>
        <v>36089.3</v>
      </c>
      <c r="L28" s="67">
        <f t="shared" si="3"/>
        <v>-36031.600000000006</v>
      </c>
      <c r="M28" s="67">
        <f t="shared" si="4"/>
        <v>27223.790000000005</v>
      </c>
      <c r="N28" s="21">
        <f t="shared" si="1"/>
        <v>2.7195294737032265</v>
      </c>
      <c r="O28" s="21">
        <f t="shared" si="5"/>
        <v>4.47654615807016</v>
      </c>
      <c r="P28" s="21">
        <f t="shared" si="6"/>
        <v>3.174185191879029</v>
      </c>
      <c r="Q28" s="21">
        <f t="shared" si="7"/>
        <v>0.5938724006677194</v>
      </c>
    </row>
    <row r="29" spans="1:17" ht="18.75" customHeight="1">
      <c r="A29" s="135" t="s">
        <v>29</v>
      </c>
      <c r="B29" s="122" t="s">
        <v>30</v>
      </c>
      <c r="C29" s="18" t="s">
        <v>31</v>
      </c>
      <c r="D29" s="19"/>
      <c r="E29" s="1">
        <v>2640</v>
      </c>
      <c r="F29" s="97"/>
      <c r="G29" s="1">
        <v>0</v>
      </c>
      <c r="H29" s="28">
        <v>0</v>
      </c>
      <c r="I29" s="28">
        <v>0</v>
      </c>
      <c r="J29" s="1">
        <f t="shared" si="0"/>
        <v>0</v>
      </c>
      <c r="K29" s="1">
        <f t="shared" si="2"/>
        <v>0</v>
      </c>
      <c r="L29" s="1">
        <f t="shared" si="3"/>
        <v>-2640</v>
      </c>
      <c r="M29" s="1">
        <f t="shared" si="4"/>
        <v>0</v>
      </c>
      <c r="N29" s="13">
        <f t="shared" si="1"/>
      </c>
      <c r="O29" s="13">
        <f t="shared" si="5"/>
      </c>
      <c r="P29" s="13">
        <f t="shared" si="6"/>
      </c>
      <c r="Q29" s="13">
        <f t="shared" si="7"/>
        <v>0</v>
      </c>
    </row>
    <row r="30" spans="1:17" ht="17.25" customHeight="1">
      <c r="A30" s="135"/>
      <c r="B30" s="122"/>
      <c r="C30" s="78" t="s">
        <v>32</v>
      </c>
      <c r="D30" s="19">
        <v>22633.69</v>
      </c>
      <c r="E30" s="1">
        <v>95135.2</v>
      </c>
      <c r="F30" s="97">
        <v>22300</v>
      </c>
      <c r="G30" s="1">
        <v>7800</v>
      </c>
      <c r="H30" s="28">
        <v>20417.62</v>
      </c>
      <c r="I30" s="28">
        <v>6876.84</v>
      </c>
      <c r="J30" s="1">
        <f t="shared" si="0"/>
        <v>-2216.0699999999997</v>
      </c>
      <c r="K30" s="1">
        <f t="shared" si="2"/>
        <v>-1882.380000000001</v>
      </c>
      <c r="L30" s="1">
        <f t="shared" si="3"/>
        <v>-74717.58</v>
      </c>
      <c r="M30" s="1">
        <f t="shared" si="4"/>
        <v>-923.1599999999999</v>
      </c>
      <c r="N30" s="13">
        <f t="shared" si="1"/>
        <v>0.9020897608830023</v>
      </c>
      <c r="O30" s="13">
        <f t="shared" si="5"/>
        <v>0.8816461538461539</v>
      </c>
      <c r="P30" s="13">
        <f t="shared" si="6"/>
        <v>0.9155883408071749</v>
      </c>
      <c r="Q30" s="13">
        <f t="shared" si="7"/>
        <v>0.21461688207939858</v>
      </c>
    </row>
    <row r="31" spans="1:17" ht="15.75">
      <c r="A31" s="135"/>
      <c r="B31" s="122"/>
      <c r="C31" s="76" t="s">
        <v>33</v>
      </c>
      <c r="D31" s="19">
        <v>2561.58</v>
      </c>
      <c r="E31" s="1">
        <v>557</v>
      </c>
      <c r="F31" s="97">
        <v>139.2</v>
      </c>
      <c r="G31" s="1">
        <v>46.4</v>
      </c>
      <c r="H31" s="28">
        <v>313.86</v>
      </c>
      <c r="I31" s="28">
        <v>35.87</v>
      </c>
      <c r="J31" s="1">
        <f t="shared" si="0"/>
        <v>-2247.72</v>
      </c>
      <c r="K31" s="1">
        <f t="shared" si="2"/>
        <v>174.66000000000003</v>
      </c>
      <c r="L31" s="1">
        <f t="shared" si="3"/>
        <v>-243.14</v>
      </c>
      <c r="M31" s="1">
        <f t="shared" si="4"/>
        <v>-10.530000000000001</v>
      </c>
      <c r="N31" s="13">
        <f t="shared" si="1"/>
        <v>0.12252594102077626</v>
      </c>
      <c r="O31" s="13">
        <f t="shared" si="5"/>
        <v>0.7730603448275861</v>
      </c>
      <c r="P31" s="13">
        <f t="shared" si="6"/>
        <v>2.254741379310345</v>
      </c>
      <c r="Q31" s="13">
        <f t="shared" si="7"/>
        <v>0.5634829443447038</v>
      </c>
    </row>
    <row r="32" spans="1:17" ht="27" customHeight="1">
      <c r="A32" s="135"/>
      <c r="B32" s="122"/>
      <c r="C32" s="91" t="s">
        <v>104</v>
      </c>
      <c r="D32" s="1">
        <f>D33+D35+D34</f>
        <v>137767.18</v>
      </c>
      <c r="E32" s="1">
        <f>E33+E35+E34</f>
        <v>289139.9</v>
      </c>
      <c r="F32" s="1">
        <f>F33+F35+F34</f>
        <v>209105.6</v>
      </c>
      <c r="G32" s="1">
        <f>G33+G35+G34</f>
        <v>201627.2</v>
      </c>
      <c r="H32" s="1">
        <f>H33+H35+H34</f>
        <v>215034.91</v>
      </c>
      <c r="I32" s="1">
        <f>I33+I35+I34</f>
        <v>3742.38</v>
      </c>
      <c r="J32" s="2">
        <f t="shared" si="0"/>
        <v>77267.73000000001</v>
      </c>
      <c r="K32" s="2">
        <f t="shared" si="2"/>
        <v>5929.309999999998</v>
      </c>
      <c r="L32" s="2">
        <f t="shared" si="3"/>
        <v>-74104.99000000002</v>
      </c>
      <c r="M32" s="2">
        <f t="shared" si="4"/>
        <v>-197884.82</v>
      </c>
      <c r="N32" s="13">
        <f t="shared" si="1"/>
        <v>1.5608573101372911</v>
      </c>
      <c r="O32" s="13">
        <f t="shared" si="5"/>
        <v>0.01856088861026687</v>
      </c>
      <c r="P32" s="13">
        <f t="shared" si="6"/>
        <v>1.0283555772777009</v>
      </c>
      <c r="Q32" s="13">
        <f t="shared" si="7"/>
        <v>0.743705417342954</v>
      </c>
    </row>
    <row r="33" spans="1:17" ht="23.25" customHeight="1">
      <c r="A33" s="135"/>
      <c r="B33" s="122"/>
      <c r="C33" s="101" t="s">
        <v>34</v>
      </c>
      <c r="D33" s="19">
        <v>125897.24</v>
      </c>
      <c r="E33" s="3">
        <v>251905.2</v>
      </c>
      <c r="F33" s="114">
        <f>6610.4+194078.6</f>
        <v>200689</v>
      </c>
      <c r="G33" s="115">
        <f>3350+194078.6</f>
        <v>197428.6</v>
      </c>
      <c r="H33" s="28">
        <v>207767.48</v>
      </c>
      <c r="I33" s="28">
        <v>93</v>
      </c>
      <c r="J33" s="3">
        <f t="shared" si="0"/>
        <v>81870.24</v>
      </c>
      <c r="K33" s="3">
        <f t="shared" si="2"/>
        <v>7078.4800000000105</v>
      </c>
      <c r="L33" s="3">
        <f t="shared" si="3"/>
        <v>-44137.72</v>
      </c>
      <c r="M33" s="3">
        <f t="shared" si="4"/>
        <v>-197335.6</v>
      </c>
      <c r="N33" s="13">
        <f t="shared" si="1"/>
        <v>1.6502941605391825</v>
      </c>
      <c r="O33" s="13">
        <f t="shared" si="5"/>
        <v>0.0004710563717718709</v>
      </c>
      <c r="P33" s="13">
        <f t="shared" si="6"/>
        <v>1.0352708917778255</v>
      </c>
      <c r="Q33" s="13">
        <f t="shared" si="7"/>
        <v>0.8247844030214541</v>
      </c>
    </row>
    <row r="34" spans="1:17" ht="21" customHeight="1">
      <c r="A34" s="135"/>
      <c r="B34" s="122"/>
      <c r="C34" s="101" t="s">
        <v>35</v>
      </c>
      <c r="D34" s="19">
        <v>693.33</v>
      </c>
      <c r="E34" s="3">
        <v>1403.8</v>
      </c>
      <c r="F34" s="98">
        <v>632.1</v>
      </c>
      <c r="G34" s="3">
        <v>0</v>
      </c>
      <c r="H34" s="28">
        <v>0</v>
      </c>
      <c r="I34" s="28">
        <v>0</v>
      </c>
      <c r="J34" s="3">
        <f t="shared" si="0"/>
        <v>-693.33</v>
      </c>
      <c r="K34" s="3">
        <f t="shared" si="2"/>
        <v>-632.1</v>
      </c>
      <c r="L34" s="3">
        <f t="shared" si="3"/>
        <v>-1403.8</v>
      </c>
      <c r="M34" s="3">
        <f t="shared" si="4"/>
        <v>0</v>
      </c>
      <c r="N34" s="13">
        <f t="shared" si="1"/>
        <v>0</v>
      </c>
      <c r="O34" s="13">
        <f t="shared" si="5"/>
      </c>
      <c r="P34" s="13">
        <f t="shared" si="6"/>
        <v>0</v>
      </c>
      <c r="Q34" s="13">
        <f t="shared" si="7"/>
        <v>0</v>
      </c>
    </row>
    <row r="35" spans="1:17" ht="25.5" customHeight="1">
      <c r="A35" s="135"/>
      <c r="B35" s="122"/>
      <c r="C35" s="101" t="s">
        <v>36</v>
      </c>
      <c r="D35" s="19">
        <v>11176.61</v>
      </c>
      <c r="E35" s="3">
        <v>35830.9</v>
      </c>
      <c r="F35" s="98">
        <v>7784.5</v>
      </c>
      <c r="G35" s="3">
        <v>4198.6</v>
      </c>
      <c r="H35" s="28">
        <v>7267.43</v>
      </c>
      <c r="I35" s="28">
        <v>3649.38</v>
      </c>
      <c r="J35" s="3">
        <f t="shared" si="0"/>
        <v>-3909.1800000000003</v>
      </c>
      <c r="K35" s="3">
        <f t="shared" si="2"/>
        <v>-517.0699999999997</v>
      </c>
      <c r="L35" s="3">
        <f t="shared" si="3"/>
        <v>-28563.47</v>
      </c>
      <c r="M35" s="3">
        <f t="shared" si="4"/>
        <v>-549.2200000000003</v>
      </c>
      <c r="N35" s="13">
        <f t="shared" si="1"/>
        <v>0.650235626008244</v>
      </c>
      <c r="O35" s="13">
        <f t="shared" si="5"/>
        <v>0.8691897299099699</v>
      </c>
      <c r="P35" s="13">
        <f t="shared" si="6"/>
        <v>0.9335769798959471</v>
      </c>
      <c r="Q35" s="13">
        <f t="shared" si="7"/>
        <v>0.2028257732850696</v>
      </c>
    </row>
    <row r="36" spans="1:17" ht="15.75">
      <c r="A36" s="135"/>
      <c r="B36" s="135"/>
      <c r="C36" s="77" t="s">
        <v>7</v>
      </c>
      <c r="D36" s="67">
        <f>SUM(D29:D32)</f>
        <v>162962.44999999998</v>
      </c>
      <c r="E36" s="67">
        <f>SUM(E29:E32)</f>
        <v>387472.10000000003</v>
      </c>
      <c r="F36" s="67">
        <f>SUM(F29:F32)</f>
        <v>231544.80000000002</v>
      </c>
      <c r="G36" s="67">
        <f>SUM(G29:G32)</f>
        <v>209473.6</v>
      </c>
      <c r="H36" s="67">
        <f>SUM(H29:H32)</f>
        <v>235766.39</v>
      </c>
      <c r="I36" s="67">
        <f>SUM(I29:I32)</f>
        <v>10655.09</v>
      </c>
      <c r="J36" s="67">
        <f t="shared" si="0"/>
        <v>72803.94000000003</v>
      </c>
      <c r="K36" s="67">
        <f t="shared" si="2"/>
        <v>4221.5899999999965</v>
      </c>
      <c r="L36" s="67">
        <f t="shared" si="3"/>
        <v>-151705.71000000002</v>
      </c>
      <c r="M36" s="67">
        <f t="shared" si="4"/>
        <v>-198818.51</v>
      </c>
      <c r="N36" s="21">
        <f t="shared" si="1"/>
        <v>1.44675285625615</v>
      </c>
      <c r="O36" s="21">
        <f t="shared" si="5"/>
        <v>0.05086602798634291</v>
      </c>
      <c r="P36" s="21">
        <f t="shared" si="6"/>
        <v>1.0182322816146163</v>
      </c>
      <c r="Q36" s="21">
        <f t="shared" si="7"/>
        <v>0.6084732036190477</v>
      </c>
    </row>
    <row r="37" spans="1:17" ht="31.5">
      <c r="A37" s="135" t="s">
        <v>70</v>
      </c>
      <c r="B37" s="122" t="s">
        <v>13</v>
      </c>
      <c r="C37" s="76" t="s">
        <v>38</v>
      </c>
      <c r="D37" s="19">
        <v>94010.42</v>
      </c>
      <c r="E37" s="1">
        <v>280952</v>
      </c>
      <c r="F37" s="97">
        <v>87600</v>
      </c>
      <c r="G37" s="1">
        <v>34600</v>
      </c>
      <c r="H37" s="28">
        <v>96430.68</v>
      </c>
      <c r="I37" s="28">
        <v>23417.05</v>
      </c>
      <c r="J37" s="2">
        <f aca="true" t="shared" si="8" ref="J37:J82">H37-D37</f>
        <v>2420.2599999999948</v>
      </c>
      <c r="K37" s="2">
        <f t="shared" si="2"/>
        <v>8830.679999999993</v>
      </c>
      <c r="L37" s="2">
        <f aca="true" t="shared" si="9" ref="L37:L68">H37-E37</f>
        <v>-184521.32</v>
      </c>
      <c r="M37" s="2">
        <f aca="true" t="shared" si="10" ref="M37:M68">I37-G37</f>
        <v>-11182.95</v>
      </c>
      <c r="N37" s="13">
        <f aca="true" t="shared" si="11" ref="N37:N68">_xlfn.IFERROR(H37/D37,"")</f>
        <v>1.0257445929929894</v>
      </c>
      <c r="O37" s="13">
        <f aca="true" t="shared" si="12" ref="O37:O68">_xlfn.IFERROR(I37/G37,"")</f>
        <v>0.676793352601156</v>
      </c>
      <c r="P37" s="13">
        <f t="shared" si="6"/>
        <v>1.1008068493150684</v>
      </c>
      <c r="Q37" s="13">
        <f t="shared" si="7"/>
        <v>0.3432283094621145</v>
      </c>
    </row>
    <row r="38" spans="1:17" ht="18.75" customHeight="1">
      <c r="A38" s="135"/>
      <c r="B38" s="122"/>
      <c r="C38" s="76" t="s">
        <v>39</v>
      </c>
      <c r="D38" s="19">
        <v>40775.61</v>
      </c>
      <c r="E38" s="1">
        <v>234039.3</v>
      </c>
      <c r="F38" s="97">
        <v>110100</v>
      </c>
      <c r="G38" s="1">
        <v>89000</v>
      </c>
      <c r="H38" s="28">
        <v>18729.920000000002</v>
      </c>
      <c r="I38" s="28">
        <v>305.28</v>
      </c>
      <c r="J38" s="2">
        <f t="shared" si="8"/>
        <v>-22045.69</v>
      </c>
      <c r="K38" s="2">
        <f t="shared" si="2"/>
        <v>-91370.08</v>
      </c>
      <c r="L38" s="2">
        <f t="shared" si="9"/>
        <v>-215309.37999999998</v>
      </c>
      <c r="M38" s="2">
        <f t="shared" si="10"/>
        <v>-88694.72</v>
      </c>
      <c r="N38" s="13">
        <f t="shared" si="11"/>
        <v>0.4593412581687926</v>
      </c>
      <c r="O38" s="13">
        <f t="shared" si="12"/>
        <v>0.0034301123595505616</v>
      </c>
      <c r="P38" s="13">
        <f t="shared" si="6"/>
        <v>0.17011734786557678</v>
      </c>
      <c r="Q38" s="13">
        <f t="shared" si="7"/>
        <v>0.0800289524024384</v>
      </c>
    </row>
    <row r="39" spans="1:17" ht="31.5">
      <c r="A39" s="135"/>
      <c r="B39" s="122"/>
      <c r="C39" s="18" t="s">
        <v>40</v>
      </c>
      <c r="D39" s="19">
        <v>12966.2</v>
      </c>
      <c r="E39" s="1">
        <v>42797.9</v>
      </c>
      <c r="F39" s="97">
        <v>11580</v>
      </c>
      <c r="G39" s="1">
        <v>5600</v>
      </c>
      <c r="H39" s="28">
        <v>14868.26</v>
      </c>
      <c r="I39" s="28">
        <v>6512.72</v>
      </c>
      <c r="J39" s="1">
        <f t="shared" si="8"/>
        <v>1902.0599999999995</v>
      </c>
      <c r="K39" s="1">
        <f t="shared" si="2"/>
        <v>3288.26</v>
      </c>
      <c r="L39" s="1">
        <f t="shared" si="9"/>
        <v>-27929.64</v>
      </c>
      <c r="M39" s="1">
        <f t="shared" si="10"/>
        <v>912.7200000000003</v>
      </c>
      <c r="N39" s="13">
        <f t="shared" si="11"/>
        <v>1.1466937113417963</v>
      </c>
      <c r="O39" s="13">
        <f t="shared" si="12"/>
        <v>1.1629857142857143</v>
      </c>
      <c r="P39" s="13">
        <f t="shared" si="6"/>
        <v>1.2839602763385147</v>
      </c>
      <c r="Q39" s="13">
        <f t="shared" si="7"/>
        <v>0.34740629797256406</v>
      </c>
    </row>
    <row r="40" spans="1:17" ht="18.75" customHeight="1">
      <c r="A40" s="138"/>
      <c r="B40" s="142"/>
      <c r="C40" s="79" t="s">
        <v>74</v>
      </c>
      <c r="D40" s="19">
        <v>1653.47</v>
      </c>
      <c r="E40" s="1">
        <v>3022.8</v>
      </c>
      <c r="F40" s="97">
        <v>336</v>
      </c>
      <c r="G40" s="1">
        <v>336</v>
      </c>
      <c r="H40" s="28">
        <v>2352.75</v>
      </c>
      <c r="I40" s="28">
        <v>196.79</v>
      </c>
      <c r="J40" s="1">
        <f t="shared" si="8"/>
        <v>699.28</v>
      </c>
      <c r="K40" s="1">
        <f t="shared" si="2"/>
        <v>2016.75</v>
      </c>
      <c r="L40" s="1">
        <f t="shared" si="9"/>
        <v>-670.0500000000002</v>
      </c>
      <c r="M40" s="1">
        <f t="shared" si="10"/>
        <v>-139.21</v>
      </c>
      <c r="N40" s="13">
        <f t="shared" si="11"/>
        <v>1.4229166540669016</v>
      </c>
      <c r="O40" s="13">
        <f t="shared" si="12"/>
        <v>0.5856845238095237</v>
      </c>
      <c r="P40" s="13">
        <f t="shared" si="6"/>
        <v>7.002232142857143</v>
      </c>
      <c r="Q40" s="13">
        <f t="shared" si="7"/>
        <v>0.7783346566097658</v>
      </c>
    </row>
    <row r="41" spans="1:17" ht="18" customHeight="1">
      <c r="A41" s="139"/>
      <c r="B41" s="143"/>
      <c r="C41" s="80" t="s">
        <v>78</v>
      </c>
      <c r="D41" s="19">
        <v>33.89</v>
      </c>
      <c r="E41" s="1">
        <v>0</v>
      </c>
      <c r="F41" s="97"/>
      <c r="G41" s="1">
        <v>0</v>
      </c>
      <c r="H41" s="28">
        <v>26.54</v>
      </c>
      <c r="I41" s="28">
        <v>12.82</v>
      </c>
      <c r="J41" s="1">
        <f t="shared" si="8"/>
        <v>-7.350000000000001</v>
      </c>
      <c r="K41" s="1">
        <f t="shared" si="2"/>
        <v>26.54</v>
      </c>
      <c r="L41" s="1">
        <f t="shared" si="9"/>
        <v>26.54</v>
      </c>
      <c r="M41" s="1">
        <f t="shared" si="10"/>
        <v>12.82</v>
      </c>
      <c r="N41" s="13">
        <f t="shared" si="11"/>
        <v>0.78312186485689</v>
      </c>
      <c r="O41" s="13">
        <f t="shared" si="12"/>
      </c>
      <c r="P41" s="13">
        <f t="shared" si="6"/>
      </c>
      <c r="Q41" s="13">
        <f t="shared" si="7"/>
      </c>
    </row>
    <row r="42" spans="1:17" ht="31.5">
      <c r="A42" s="135"/>
      <c r="B42" s="122"/>
      <c r="C42" s="76" t="s">
        <v>41</v>
      </c>
      <c r="D42" s="19">
        <v>57177.19</v>
      </c>
      <c r="E42" s="1">
        <v>200388.7</v>
      </c>
      <c r="F42" s="97">
        <v>22830</v>
      </c>
      <c r="G42" s="1">
        <v>11500</v>
      </c>
      <c r="H42" s="28">
        <v>29629.29</v>
      </c>
      <c r="I42" s="28">
        <v>2986.65</v>
      </c>
      <c r="J42" s="1">
        <f t="shared" si="8"/>
        <v>-27547.9</v>
      </c>
      <c r="K42" s="1">
        <f t="shared" si="2"/>
        <v>6799.290000000001</v>
      </c>
      <c r="L42" s="1">
        <f t="shared" si="9"/>
        <v>-170759.41</v>
      </c>
      <c r="M42" s="1">
        <f t="shared" si="10"/>
        <v>-8513.35</v>
      </c>
      <c r="N42" s="13">
        <f t="shared" si="11"/>
        <v>0.5182012267479391</v>
      </c>
      <c r="O42" s="13">
        <f t="shared" si="12"/>
        <v>0.2597086956521739</v>
      </c>
      <c r="P42" s="13">
        <f t="shared" si="6"/>
        <v>1.2978226018396846</v>
      </c>
      <c r="Q42" s="13">
        <f t="shared" si="7"/>
        <v>0.14785908586661822</v>
      </c>
    </row>
    <row r="43" spans="1:17" ht="30" customHeight="1">
      <c r="A43" s="140"/>
      <c r="B43" s="144"/>
      <c r="C43" s="81" t="s">
        <v>91</v>
      </c>
      <c r="D43" s="19"/>
      <c r="E43" s="20">
        <v>0</v>
      </c>
      <c r="F43" s="97"/>
      <c r="G43" s="20">
        <v>0</v>
      </c>
      <c r="H43" s="28">
        <v>0</v>
      </c>
      <c r="I43" s="28">
        <v>0</v>
      </c>
      <c r="J43" s="1">
        <f t="shared" si="8"/>
        <v>0</v>
      </c>
      <c r="K43" s="1">
        <f t="shared" si="2"/>
        <v>0</v>
      </c>
      <c r="L43" s="1">
        <f t="shared" si="9"/>
        <v>0</v>
      </c>
      <c r="M43" s="1">
        <f t="shared" si="10"/>
        <v>0</v>
      </c>
      <c r="N43" s="13">
        <f t="shared" si="11"/>
      </c>
      <c r="O43" s="13">
        <f t="shared" si="12"/>
      </c>
      <c r="P43" s="13">
        <f t="shared" si="6"/>
      </c>
      <c r="Q43" s="13">
        <f t="shared" si="7"/>
      </c>
    </row>
    <row r="44" spans="1:17" ht="34.5" customHeight="1">
      <c r="A44" s="135"/>
      <c r="B44" s="122"/>
      <c r="C44" s="76" t="s">
        <v>42</v>
      </c>
      <c r="D44" s="19">
        <v>18808.45</v>
      </c>
      <c r="E44" s="1">
        <v>82177</v>
      </c>
      <c r="F44" s="97">
        <v>9800</v>
      </c>
      <c r="G44" s="1">
        <v>4000</v>
      </c>
      <c r="H44" s="28">
        <v>42867.89</v>
      </c>
      <c r="I44" s="28">
        <v>29262.12</v>
      </c>
      <c r="J44" s="1">
        <f t="shared" si="8"/>
        <v>24059.44</v>
      </c>
      <c r="K44" s="1">
        <f t="shared" si="2"/>
        <v>33067.89</v>
      </c>
      <c r="L44" s="1">
        <f t="shared" si="9"/>
        <v>-39309.11</v>
      </c>
      <c r="M44" s="1">
        <f t="shared" si="10"/>
        <v>25262.12</v>
      </c>
      <c r="N44" s="13">
        <f t="shared" si="11"/>
        <v>2.2791824951019355</v>
      </c>
      <c r="O44" s="13">
        <f t="shared" si="12"/>
        <v>7.31553</v>
      </c>
      <c r="P44" s="13">
        <f t="shared" si="6"/>
        <v>4.374274489795918</v>
      </c>
      <c r="Q44" s="13">
        <f t="shared" si="7"/>
        <v>0.5216531389561556</v>
      </c>
    </row>
    <row r="45" spans="1:17" ht="21" customHeight="1">
      <c r="A45" s="141"/>
      <c r="B45" s="145"/>
      <c r="C45" s="76" t="s">
        <v>92</v>
      </c>
      <c r="D45" s="19"/>
      <c r="E45" s="22">
        <v>0</v>
      </c>
      <c r="F45" s="97"/>
      <c r="G45" s="22">
        <v>0</v>
      </c>
      <c r="H45" s="28">
        <v>127.01</v>
      </c>
      <c r="I45" s="28">
        <v>127.01</v>
      </c>
      <c r="J45" s="1">
        <f t="shared" si="8"/>
        <v>127.01</v>
      </c>
      <c r="K45" s="1">
        <f t="shared" si="2"/>
        <v>127.01</v>
      </c>
      <c r="L45" s="1">
        <f t="shared" si="9"/>
        <v>127.01</v>
      </c>
      <c r="M45" s="1">
        <f t="shared" si="10"/>
        <v>127.01</v>
      </c>
      <c r="N45" s="13">
        <f t="shared" si="11"/>
      </c>
      <c r="O45" s="13">
        <f t="shared" si="12"/>
      </c>
      <c r="P45" s="13">
        <f t="shared" si="6"/>
      </c>
      <c r="Q45" s="27"/>
    </row>
    <row r="46" spans="1:17" ht="18" customHeight="1">
      <c r="A46" s="140"/>
      <c r="B46" s="144"/>
      <c r="C46" s="18" t="s">
        <v>47</v>
      </c>
      <c r="D46" s="19">
        <v>2503.41</v>
      </c>
      <c r="E46" s="20">
        <v>8857.5</v>
      </c>
      <c r="F46" s="97">
        <v>2214.2000000000003</v>
      </c>
      <c r="G46" s="20">
        <v>2214.2000000000003</v>
      </c>
      <c r="H46" s="28">
        <v>3578.12</v>
      </c>
      <c r="I46" s="28">
        <v>1116.55</v>
      </c>
      <c r="J46" s="1">
        <f t="shared" si="8"/>
        <v>1074.71</v>
      </c>
      <c r="K46" s="1">
        <f t="shared" si="2"/>
        <v>1363.9199999999996</v>
      </c>
      <c r="L46" s="1">
        <f t="shared" si="9"/>
        <v>-5279.38</v>
      </c>
      <c r="M46" s="1">
        <f t="shared" si="10"/>
        <v>-1097.6500000000003</v>
      </c>
      <c r="N46" s="13">
        <f t="shared" si="11"/>
        <v>1.4292984369320247</v>
      </c>
      <c r="O46" s="13">
        <f t="shared" si="12"/>
        <v>0.5042679071447926</v>
      </c>
      <c r="P46" s="13">
        <f t="shared" si="6"/>
        <v>1.615987715653509</v>
      </c>
      <c r="Q46" s="13">
        <f aca="true" t="shared" si="13" ref="Q46:Q82">_xlfn.IFERROR(H46/E46,"")</f>
        <v>0.4039650014112334</v>
      </c>
    </row>
    <row r="47" spans="1:17" ht="18.75" customHeight="1">
      <c r="A47" s="140"/>
      <c r="B47" s="144"/>
      <c r="C47" s="18" t="s">
        <v>89</v>
      </c>
      <c r="D47" s="19">
        <v>10213.69</v>
      </c>
      <c r="E47" s="20">
        <v>46764</v>
      </c>
      <c r="F47" s="97">
        <v>11688</v>
      </c>
      <c r="G47" s="20">
        <v>3896</v>
      </c>
      <c r="H47" s="28">
        <v>16425.85</v>
      </c>
      <c r="I47" s="28">
        <v>7822.47</v>
      </c>
      <c r="J47" s="1">
        <f t="shared" si="8"/>
        <v>6212.159999999998</v>
      </c>
      <c r="K47" s="1">
        <f t="shared" si="2"/>
        <v>4737.8499999999985</v>
      </c>
      <c r="L47" s="1">
        <f t="shared" si="9"/>
        <v>-30338.15</v>
      </c>
      <c r="M47" s="1">
        <f t="shared" si="10"/>
        <v>3926.4700000000003</v>
      </c>
      <c r="N47" s="13">
        <f t="shared" si="11"/>
        <v>1.608218968854547</v>
      </c>
      <c r="O47" s="13">
        <f t="shared" si="12"/>
        <v>2.0078208418891172</v>
      </c>
      <c r="P47" s="13">
        <f t="shared" si="6"/>
        <v>1.405360198494182</v>
      </c>
      <c r="Q47" s="13">
        <f t="shared" si="13"/>
        <v>0.3512498930801471</v>
      </c>
    </row>
    <row r="48" spans="1:17" ht="18" customHeight="1">
      <c r="A48" s="135"/>
      <c r="B48" s="135"/>
      <c r="C48" s="77" t="s">
        <v>7</v>
      </c>
      <c r="D48" s="67">
        <f>SUM(D37:D47)</f>
        <v>238142.33000000005</v>
      </c>
      <c r="E48" s="67">
        <f>SUM(E37:E47)</f>
        <v>898999.2</v>
      </c>
      <c r="F48" s="67">
        <f>SUM(F37:F47)</f>
        <v>256148.2</v>
      </c>
      <c r="G48" s="67">
        <f>SUM(G37:G47)</f>
        <v>151146.2</v>
      </c>
      <c r="H48" s="67">
        <f>SUM(H37:H47)</f>
        <v>225036.31000000003</v>
      </c>
      <c r="I48" s="67">
        <f>SUM(I37:I47)</f>
        <v>71759.45999999999</v>
      </c>
      <c r="J48" s="67">
        <f t="shared" si="8"/>
        <v>-13106.020000000019</v>
      </c>
      <c r="K48" s="67">
        <f t="shared" si="2"/>
        <v>-31111.889999999985</v>
      </c>
      <c r="L48" s="67">
        <f t="shared" si="9"/>
        <v>-673962.8899999999</v>
      </c>
      <c r="M48" s="67">
        <f t="shared" si="10"/>
        <v>-79386.74000000002</v>
      </c>
      <c r="N48" s="13">
        <f t="shared" si="11"/>
        <v>0.9449656010336339</v>
      </c>
      <c r="O48" s="13">
        <f t="shared" si="12"/>
        <v>0.4747685353650967</v>
      </c>
      <c r="P48" s="13">
        <f t="shared" si="6"/>
        <v>0.8785394939335901</v>
      </c>
      <c r="Q48" s="13">
        <f t="shared" si="13"/>
        <v>0.25031869883755187</v>
      </c>
    </row>
    <row r="49" spans="1:17" ht="18" customHeight="1">
      <c r="A49" s="135" t="s">
        <v>43</v>
      </c>
      <c r="B49" s="122" t="s">
        <v>44</v>
      </c>
      <c r="C49" s="18" t="s">
        <v>26</v>
      </c>
      <c r="D49" s="108">
        <v>2731.14</v>
      </c>
      <c r="E49" s="1">
        <v>123</v>
      </c>
      <c r="F49" s="97"/>
      <c r="G49" s="1">
        <v>0</v>
      </c>
      <c r="H49" s="38">
        <v>0</v>
      </c>
      <c r="I49" s="38">
        <v>0</v>
      </c>
      <c r="J49" s="2">
        <f t="shared" si="8"/>
        <v>-2731.14</v>
      </c>
      <c r="K49" s="2">
        <f t="shared" si="2"/>
        <v>0</v>
      </c>
      <c r="L49" s="2">
        <f t="shared" si="9"/>
        <v>-123</v>
      </c>
      <c r="M49" s="2">
        <f t="shared" si="10"/>
        <v>0</v>
      </c>
      <c r="N49" s="13">
        <f t="shared" si="11"/>
        <v>0</v>
      </c>
      <c r="O49" s="13">
        <f t="shared" si="12"/>
      </c>
      <c r="P49" s="13">
        <f t="shared" si="6"/>
      </c>
      <c r="Q49" s="13">
        <f t="shared" si="13"/>
        <v>0</v>
      </c>
    </row>
    <row r="50" spans="1:17" ht="18" customHeight="1">
      <c r="A50" s="135"/>
      <c r="B50" s="122"/>
      <c r="C50" s="82" t="s">
        <v>7</v>
      </c>
      <c r="D50" s="68">
        <f>SUM(D49:D49)</f>
        <v>2731.14</v>
      </c>
      <c r="E50" s="68">
        <f>SUM(E49:E49)</f>
        <v>123</v>
      </c>
      <c r="F50" s="68">
        <f>SUM(F49:F49)</f>
        <v>0</v>
      </c>
      <c r="G50" s="68">
        <f>SUM(G49:G49)</f>
        <v>0</v>
      </c>
      <c r="H50" s="68">
        <f>SUM(H49:H49)</f>
        <v>0</v>
      </c>
      <c r="I50" s="68">
        <f>SUM(I49:I49)</f>
        <v>0</v>
      </c>
      <c r="J50" s="69">
        <f t="shared" si="8"/>
        <v>-2731.14</v>
      </c>
      <c r="K50" s="69">
        <f t="shared" si="2"/>
        <v>0</v>
      </c>
      <c r="L50" s="69">
        <f t="shared" si="9"/>
        <v>-123</v>
      </c>
      <c r="M50" s="69">
        <f t="shared" si="10"/>
        <v>0</v>
      </c>
      <c r="N50" s="13">
        <f t="shared" si="11"/>
        <v>0</v>
      </c>
      <c r="O50" s="13">
        <f t="shared" si="12"/>
      </c>
      <c r="P50" s="13">
        <f t="shared" si="6"/>
      </c>
      <c r="Q50" s="13">
        <f t="shared" si="13"/>
        <v>0</v>
      </c>
    </row>
    <row r="51" spans="1:17" ht="18" customHeight="1">
      <c r="A51" s="149" t="s">
        <v>46</v>
      </c>
      <c r="B51" s="147" t="s">
        <v>72</v>
      </c>
      <c r="C51" s="83" t="s">
        <v>80</v>
      </c>
      <c r="D51" s="108">
        <v>144547.03</v>
      </c>
      <c r="E51" s="1">
        <v>596188</v>
      </c>
      <c r="F51" s="97">
        <v>144129.5</v>
      </c>
      <c r="G51" s="1">
        <v>50107.8</v>
      </c>
      <c r="H51" s="38">
        <v>162247.07</v>
      </c>
      <c r="I51" s="38">
        <v>53961.100000000006</v>
      </c>
      <c r="J51" s="2">
        <f t="shared" si="8"/>
        <v>17700.040000000008</v>
      </c>
      <c r="K51" s="2">
        <f t="shared" si="2"/>
        <v>18117.570000000007</v>
      </c>
      <c r="L51" s="2">
        <f t="shared" si="9"/>
        <v>-433940.93</v>
      </c>
      <c r="M51" s="2">
        <f t="shared" si="10"/>
        <v>3853.300000000003</v>
      </c>
      <c r="N51" s="13">
        <f t="shared" si="11"/>
        <v>1.122451772270935</v>
      </c>
      <c r="O51" s="13">
        <f t="shared" si="12"/>
        <v>1.0769002031619828</v>
      </c>
      <c r="P51" s="13">
        <f t="shared" si="6"/>
        <v>1.1257034125560694</v>
      </c>
      <c r="Q51" s="13">
        <f t="shared" si="13"/>
        <v>0.27214078445054246</v>
      </c>
    </row>
    <row r="52" spans="1:17" ht="18" customHeight="1">
      <c r="A52" s="128"/>
      <c r="B52" s="131"/>
      <c r="C52" s="83" t="s">
        <v>75</v>
      </c>
      <c r="D52" s="108">
        <v>84661.08</v>
      </c>
      <c r="E52" s="19">
        <v>454879.5</v>
      </c>
      <c r="F52" s="97">
        <v>84041.40000000001</v>
      </c>
      <c r="G52" s="19">
        <v>26429.8</v>
      </c>
      <c r="H52" s="38">
        <v>103714.89</v>
      </c>
      <c r="I52" s="38">
        <v>31794.17</v>
      </c>
      <c r="J52" s="28">
        <f t="shared" si="8"/>
        <v>19053.809999999998</v>
      </c>
      <c r="K52" s="28">
        <f t="shared" si="2"/>
        <v>19673.48999999999</v>
      </c>
      <c r="L52" s="28">
        <f t="shared" si="9"/>
        <v>-351164.61</v>
      </c>
      <c r="M52" s="28">
        <f>I52-G52</f>
        <v>5364.369999999999</v>
      </c>
      <c r="N52" s="13">
        <f t="shared" si="11"/>
        <v>1.2250598504058772</v>
      </c>
      <c r="O52" s="13">
        <f t="shared" si="12"/>
        <v>1.2029667269521525</v>
      </c>
      <c r="P52" s="13">
        <f t="shared" si="6"/>
        <v>1.2340928399574493</v>
      </c>
      <c r="Q52" s="13">
        <f t="shared" si="13"/>
        <v>0.22800519698073884</v>
      </c>
    </row>
    <row r="53" spans="1:17" ht="18" customHeight="1">
      <c r="A53" s="128"/>
      <c r="B53" s="131"/>
      <c r="C53" s="83" t="s">
        <v>76</v>
      </c>
      <c r="D53" s="108">
        <v>898117.66</v>
      </c>
      <c r="E53" s="1">
        <v>4256276</v>
      </c>
      <c r="F53" s="97">
        <v>967477.4</v>
      </c>
      <c r="G53" s="1">
        <v>366181.9</v>
      </c>
      <c r="H53" s="38">
        <v>893065.22</v>
      </c>
      <c r="I53" s="38">
        <v>310117.94</v>
      </c>
      <c r="J53" s="2">
        <f t="shared" si="8"/>
        <v>-5052.4400000000605</v>
      </c>
      <c r="K53" s="2">
        <f t="shared" si="2"/>
        <v>-74412.18000000005</v>
      </c>
      <c r="L53" s="2">
        <f t="shared" si="9"/>
        <v>-3363210.7800000003</v>
      </c>
      <c r="M53" s="2">
        <f t="shared" si="10"/>
        <v>-56063.96000000002</v>
      </c>
      <c r="N53" s="13">
        <f t="shared" si="11"/>
        <v>0.9943744119228208</v>
      </c>
      <c r="O53" s="13">
        <f t="shared" si="12"/>
        <v>0.8468958733350829</v>
      </c>
      <c r="P53" s="13">
        <f t="shared" si="6"/>
        <v>0.923086389408166</v>
      </c>
      <c r="Q53" s="13">
        <f t="shared" si="13"/>
        <v>0.20982314586742024</v>
      </c>
    </row>
    <row r="54" spans="1:17" ht="18" customHeight="1">
      <c r="A54" s="128"/>
      <c r="B54" s="131"/>
      <c r="C54" s="83" t="s">
        <v>77</v>
      </c>
      <c r="D54" s="108">
        <v>357.02</v>
      </c>
      <c r="E54" s="1">
        <v>1182.8</v>
      </c>
      <c r="F54" s="97">
        <v>292</v>
      </c>
      <c r="G54" s="1">
        <v>122</v>
      </c>
      <c r="H54" s="38">
        <v>182.1</v>
      </c>
      <c r="I54" s="38">
        <v>57.8</v>
      </c>
      <c r="J54" s="2">
        <f t="shared" si="8"/>
        <v>-174.92</v>
      </c>
      <c r="K54" s="2">
        <f t="shared" si="2"/>
        <v>-109.9</v>
      </c>
      <c r="L54" s="2">
        <f t="shared" si="9"/>
        <v>-1000.6999999999999</v>
      </c>
      <c r="M54" s="2">
        <f t="shared" si="10"/>
        <v>-64.2</v>
      </c>
      <c r="N54" s="13">
        <f t="shared" si="11"/>
        <v>0.5100554590779228</v>
      </c>
      <c r="O54" s="13">
        <f t="shared" si="12"/>
        <v>0.4737704918032787</v>
      </c>
      <c r="P54" s="13">
        <f t="shared" si="6"/>
        <v>0.6236301369863013</v>
      </c>
      <c r="Q54" s="13">
        <f t="shared" si="13"/>
        <v>0.1539567128846804</v>
      </c>
    </row>
    <row r="55" spans="1:17" ht="18" customHeight="1">
      <c r="A55" s="150"/>
      <c r="B55" s="148"/>
      <c r="C55" s="84" t="s">
        <v>7</v>
      </c>
      <c r="D55" s="3">
        <f>SUM(D51:D54)</f>
        <v>1127682.79</v>
      </c>
      <c r="E55" s="3">
        <f>SUM(E51:E54)</f>
        <v>5308526.3</v>
      </c>
      <c r="F55" s="3">
        <f>SUM(F51:F54)</f>
        <v>1195940.3</v>
      </c>
      <c r="G55" s="3">
        <f>SUM(G51:G54)</f>
        <v>442841.5</v>
      </c>
      <c r="H55" s="3">
        <f>SUM(H51:H54)</f>
        <v>1159209.28</v>
      </c>
      <c r="I55" s="3">
        <f>SUM(I51:I54)</f>
        <v>395931.01</v>
      </c>
      <c r="J55" s="3">
        <f t="shared" si="8"/>
        <v>31526.48999999999</v>
      </c>
      <c r="K55" s="3">
        <f t="shared" si="2"/>
        <v>-36731.02000000002</v>
      </c>
      <c r="L55" s="3">
        <f t="shared" si="9"/>
        <v>-4149317.0199999996</v>
      </c>
      <c r="M55" s="3">
        <f t="shared" si="10"/>
        <v>-46910.48999999999</v>
      </c>
      <c r="N55" s="13">
        <f t="shared" si="11"/>
        <v>1.02795687783796</v>
      </c>
      <c r="O55" s="13">
        <f t="shared" si="12"/>
        <v>0.8940693453526827</v>
      </c>
      <c r="P55" s="13">
        <f t="shared" si="6"/>
        <v>0.969286911729624</v>
      </c>
      <c r="Q55" s="13">
        <f t="shared" si="13"/>
        <v>0.21836743655202387</v>
      </c>
    </row>
    <row r="56" spans="1:17" ht="18" customHeight="1">
      <c r="A56" s="146">
        <v>991</v>
      </c>
      <c r="B56" s="146" t="s">
        <v>48</v>
      </c>
      <c r="C56" s="76" t="s">
        <v>49</v>
      </c>
      <c r="D56" s="108">
        <v>13469.49</v>
      </c>
      <c r="E56" s="1">
        <v>67760.3</v>
      </c>
      <c r="F56" s="97">
        <v>15500</v>
      </c>
      <c r="G56" s="1">
        <v>5600</v>
      </c>
      <c r="H56" s="38">
        <v>14535.23</v>
      </c>
      <c r="I56" s="38">
        <v>5395.21</v>
      </c>
      <c r="J56" s="1">
        <f t="shared" si="8"/>
        <v>1065.7399999999998</v>
      </c>
      <c r="K56" s="1">
        <f t="shared" si="2"/>
        <v>-964.7700000000004</v>
      </c>
      <c r="L56" s="1">
        <f t="shared" si="9"/>
        <v>-53225.07000000001</v>
      </c>
      <c r="M56" s="1">
        <f t="shared" si="10"/>
        <v>-204.78999999999996</v>
      </c>
      <c r="N56" s="13">
        <f t="shared" si="11"/>
        <v>1.0791225206002604</v>
      </c>
      <c r="O56" s="13">
        <f t="shared" si="12"/>
        <v>0.9634303571428572</v>
      </c>
      <c r="P56" s="13">
        <f t="shared" si="6"/>
        <v>0.9377567741935483</v>
      </c>
      <c r="Q56" s="13">
        <f t="shared" si="13"/>
        <v>0.2145095284406946</v>
      </c>
    </row>
    <row r="57" spans="1:17" ht="19.5" customHeight="1">
      <c r="A57" s="146"/>
      <c r="B57" s="146"/>
      <c r="C57" s="18" t="s">
        <v>50</v>
      </c>
      <c r="D57" s="108">
        <v>2263.47</v>
      </c>
      <c r="E57" s="1">
        <v>0</v>
      </c>
      <c r="F57" s="97"/>
      <c r="G57" s="1">
        <v>0</v>
      </c>
      <c r="H57" s="38">
        <v>2566.81</v>
      </c>
      <c r="I57" s="38">
        <v>2002.53</v>
      </c>
      <c r="J57" s="1">
        <f t="shared" si="8"/>
        <v>303.34000000000015</v>
      </c>
      <c r="K57" s="1">
        <f t="shared" si="2"/>
        <v>2566.81</v>
      </c>
      <c r="L57" s="1">
        <f t="shared" si="9"/>
        <v>2566.81</v>
      </c>
      <c r="M57" s="1">
        <f t="shared" si="10"/>
        <v>2002.53</v>
      </c>
      <c r="N57" s="13">
        <f t="shared" si="11"/>
        <v>1.1340154718198165</v>
      </c>
      <c r="O57" s="13">
        <f t="shared" si="12"/>
      </c>
      <c r="P57" s="13">
        <f t="shared" si="6"/>
      </c>
      <c r="Q57" s="13">
        <f t="shared" si="13"/>
      </c>
    </row>
    <row r="58" spans="1:17" ht="15.75" customHeight="1">
      <c r="A58" s="146"/>
      <c r="B58" s="146"/>
      <c r="C58" s="77" t="s">
        <v>7</v>
      </c>
      <c r="D58" s="67">
        <f>SUM(D56:D57)</f>
        <v>15732.96</v>
      </c>
      <c r="E58" s="67">
        <f>SUM(E56:E57)</f>
        <v>67760.3</v>
      </c>
      <c r="F58" s="67">
        <f>SUM(F56:F57)</f>
        <v>15500</v>
      </c>
      <c r="G58" s="67">
        <f>SUM(G56:G57)</f>
        <v>5600</v>
      </c>
      <c r="H58" s="67">
        <f>SUM(H56:H57)</f>
        <v>17102.04</v>
      </c>
      <c r="I58" s="67">
        <f>SUM(I56:I57)</f>
        <v>7397.74</v>
      </c>
      <c r="J58" s="67">
        <f t="shared" si="8"/>
        <v>1369.0800000000017</v>
      </c>
      <c r="K58" s="67">
        <f t="shared" si="2"/>
        <v>1602.0400000000009</v>
      </c>
      <c r="L58" s="67">
        <f t="shared" si="9"/>
        <v>-50658.26</v>
      </c>
      <c r="M58" s="67">
        <f t="shared" si="10"/>
        <v>1797.7399999999998</v>
      </c>
      <c r="N58" s="13">
        <f t="shared" si="11"/>
        <v>1.087019861488239</v>
      </c>
      <c r="O58" s="13">
        <f t="shared" si="12"/>
        <v>1.321025</v>
      </c>
      <c r="P58" s="13">
        <f t="shared" si="6"/>
        <v>1.1033574193548388</v>
      </c>
      <c r="Q58" s="21">
        <f t="shared" si="13"/>
        <v>0.2523902639155966</v>
      </c>
    </row>
    <row r="59" spans="1:17" ht="18" customHeight="1">
      <c r="A59" s="135" t="s">
        <v>51</v>
      </c>
      <c r="B59" s="122" t="s">
        <v>52</v>
      </c>
      <c r="C59" s="18" t="s">
        <v>53</v>
      </c>
      <c r="D59" s="108">
        <v>4852.030000000001</v>
      </c>
      <c r="E59" s="1">
        <v>10532.900000000001</v>
      </c>
      <c r="F59" s="97">
        <v>2698.2999999999997</v>
      </c>
      <c r="G59" s="1">
        <v>2201.7</v>
      </c>
      <c r="H59" s="38">
        <v>17709.079999999998</v>
      </c>
      <c r="I59" s="38">
        <v>6787.070000000001</v>
      </c>
      <c r="J59" s="1">
        <f t="shared" si="8"/>
        <v>12857.049999999997</v>
      </c>
      <c r="K59" s="1">
        <f t="shared" si="2"/>
        <v>15010.779999999999</v>
      </c>
      <c r="L59" s="1">
        <f t="shared" si="9"/>
        <v>7176.179999999997</v>
      </c>
      <c r="M59" s="1">
        <f t="shared" si="10"/>
        <v>4585.370000000001</v>
      </c>
      <c r="N59" s="21">
        <f t="shared" si="11"/>
        <v>3.649829040628355</v>
      </c>
      <c r="O59" s="21">
        <f t="shared" si="12"/>
        <v>3.082649770631785</v>
      </c>
      <c r="P59" s="21">
        <f t="shared" si="6"/>
        <v>6.563050809769114</v>
      </c>
      <c r="Q59" s="13">
        <f t="shared" si="13"/>
        <v>1.6813109400070252</v>
      </c>
    </row>
    <row r="60" spans="1:17" ht="18" customHeight="1">
      <c r="A60" s="136"/>
      <c r="B60" s="137"/>
      <c r="C60" s="85" t="s">
        <v>93</v>
      </c>
      <c r="D60" s="109">
        <v>7969.28</v>
      </c>
      <c r="E60" s="34">
        <v>50222.8</v>
      </c>
      <c r="F60" s="116">
        <f>1100+500</f>
        <v>1600</v>
      </c>
      <c r="G60" s="117">
        <f>500+500</f>
        <v>1000</v>
      </c>
      <c r="H60" s="39">
        <v>3697.14</v>
      </c>
      <c r="I60" s="39">
        <v>2350.35</v>
      </c>
      <c r="J60" s="1">
        <f t="shared" si="8"/>
        <v>-4272.139999999999</v>
      </c>
      <c r="K60" s="1">
        <f t="shared" si="2"/>
        <v>2097.14</v>
      </c>
      <c r="L60" s="1">
        <f t="shared" si="9"/>
        <v>-46525.66</v>
      </c>
      <c r="M60" s="1">
        <f t="shared" si="10"/>
        <v>1350.35</v>
      </c>
      <c r="N60" s="21">
        <f t="shared" si="11"/>
        <v>0.4639239680372631</v>
      </c>
      <c r="O60" s="21">
        <f t="shared" si="12"/>
        <v>2.3503499999999997</v>
      </c>
      <c r="P60" s="21">
        <f t="shared" si="6"/>
        <v>2.3107124999999997</v>
      </c>
      <c r="Q60" s="13">
        <f t="shared" si="13"/>
        <v>0.07361477257341287</v>
      </c>
    </row>
    <row r="61" spans="1:17" ht="18" customHeight="1">
      <c r="A61" s="135"/>
      <c r="B61" s="122"/>
      <c r="C61" s="84" t="s">
        <v>7</v>
      </c>
      <c r="D61" s="3">
        <f>SUBTOTAL(9,D59:D60)</f>
        <v>12821.310000000001</v>
      </c>
      <c r="E61" s="3">
        <f>SUBTOTAL(9,E59:E60)</f>
        <v>60755.700000000004</v>
      </c>
      <c r="F61" s="115">
        <f>SUBTOTAL(9,F59:F60)</f>
        <v>4298.299999999999</v>
      </c>
      <c r="G61" s="115">
        <f>SUBTOTAL(9,G59:G60)</f>
        <v>3201.7</v>
      </c>
      <c r="H61" s="115">
        <f>SUBTOTAL(9,H59:H60)</f>
        <v>21406.219999999998</v>
      </c>
      <c r="I61" s="115">
        <f>SUBTOTAL(9,I59:I60)</f>
        <v>9137.42</v>
      </c>
      <c r="J61" s="3">
        <f t="shared" si="8"/>
        <v>8584.909999999996</v>
      </c>
      <c r="K61" s="3">
        <f t="shared" si="2"/>
        <v>17107.92</v>
      </c>
      <c r="L61" s="3">
        <f t="shared" si="9"/>
        <v>-39349.48000000001</v>
      </c>
      <c r="M61" s="3">
        <f t="shared" si="10"/>
        <v>5935.72</v>
      </c>
      <c r="N61" s="13">
        <f t="shared" si="11"/>
        <v>1.6695813454319406</v>
      </c>
      <c r="O61" s="13">
        <f t="shared" si="12"/>
        <v>2.853927600961989</v>
      </c>
      <c r="P61" s="13">
        <f t="shared" si="6"/>
        <v>4.980159597980597</v>
      </c>
      <c r="Q61" s="13">
        <f t="shared" si="13"/>
        <v>0.3523327029398064</v>
      </c>
    </row>
    <row r="62" spans="1:17" ht="18" customHeight="1">
      <c r="A62" s="122"/>
      <c r="B62" s="122" t="s">
        <v>54</v>
      </c>
      <c r="C62" s="78" t="s">
        <v>55</v>
      </c>
      <c r="D62" s="108">
        <v>61.84</v>
      </c>
      <c r="E62" s="1">
        <v>254.5</v>
      </c>
      <c r="F62" s="116">
        <v>63.599999999999994</v>
      </c>
      <c r="G62" s="118">
        <v>21.2</v>
      </c>
      <c r="H62" s="38">
        <v>120.56</v>
      </c>
      <c r="I62" s="38">
        <v>23.91</v>
      </c>
      <c r="J62" s="1">
        <f t="shared" si="8"/>
        <v>58.72</v>
      </c>
      <c r="K62" s="1">
        <f t="shared" si="2"/>
        <v>56.96000000000001</v>
      </c>
      <c r="L62" s="1">
        <f t="shared" si="9"/>
        <v>-133.94</v>
      </c>
      <c r="M62" s="1">
        <f t="shared" si="10"/>
        <v>2.710000000000001</v>
      </c>
      <c r="N62" s="13">
        <f t="shared" si="11"/>
        <v>1.9495472186287193</v>
      </c>
      <c r="O62" s="13">
        <f t="shared" si="12"/>
        <v>1.1278301886792452</v>
      </c>
      <c r="P62" s="13">
        <f t="shared" si="6"/>
        <v>1.8955974842767298</v>
      </c>
      <c r="Q62" s="13">
        <f t="shared" si="13"/>
        <v>0.473713163064833</v>
      </c>
    </row>
    <row r="63" spans="1:17" ht="18" customHeight="1">
      <c r="A63" s="142"/>
      <c r="B63" s="142"/>
      <c r="C63" s="18" t="s">
        <v>86</v>
      </c>
      <c r="D63" s="108">
        <v>7.77000000000001</v>
      </c>
      <c r="E63" s="4">
        <v>49.4</v>
      </c>
      <c r="F63" s="116">
        <v>49.4</v>
      </c>
      <c r="G63" s="119">
        <v>0</v>
      </c>
      <c r="H63" s="38">
        <v>489.3</v>
      </c>
      <c r="I63" s="38">
        <v>92.85</v>
      </c>
      <c r="J63" s="4">
        <f t="shared" si="8"/>
        <v>481.53</v>
      </c>
      <c r="K63" s="4">
        <f t="shared" si="2"/>
        <v>439.90000000000003</v>
      </c>
      <c r="L63" s="4">
        <f t="shared" si="9"/>
        <v>439.90000000000003</v>
      </c>
      <c r="M63" s="4">
        <f t="shared" si="10"/>
        <v>92.85</v>
      </c>
      <c r="N63" s="13">
        <f t="shared" si="11"/>
        <v>62.97297297297289</v>
      </c>
      <c r="O63" s="13">
        <f t="shared" si="12"/>
      </c>
      <c r="P63" s="13">
        <f t="shared" si="6"/>
        <v>9.904858299595142</v>
      </c>
      <c r="Q63" s="13">
        <f t="shared" si="13"/>
        <v>9.904858299595142</v>
      </c>
    </row>
    <row r="64" spans="1:17" ht="18" customHeight="1">
      <c r="A64" s="122"/>
      <c r="B64" s="122"/>
      <c r="C64" s="18" t="s">
        <v>26</v>
      </c>
      <c r="D64" s="108"/>
      <c r="E64" s="1">
        <v>0</v>
      </c>
      <c r="F64" s="97"/>
      <c r="G64" s="1">
        <v>0</v>
      </c>
      <c r="H64" s="38">
        <v>0</v>
      </c>
      <c r="I64" s="38">
        <v>0</v>
      </c>
      <c r="J64" s="1">
        <f t="shared" si="8"/>
        <v>0</v>
      </c>
      <c r="K64" s="1">
        <f t="shared" si="2"/>
        <v>0</v>
      </c>
      <c r="L64" s="1">
        <f t="shared" si="9"/>
        <v>0</v>
      </c>
      <c r="M64" s="1">
        <f t="shared" si="10"/>
        <v>0</v>
      </c>
      <c r="N64" s="13">
        <f t="shared" si="11"/>
      </c>
      <c r="O64" s="13">
        <f t="shared" si="12"/>
      </c>
      <c r="P64" s="13">
        <f t="shared" si="6"/>
      </c>
      <c r="Q64" s="13">
        <f t="shared" si="13"/>
      </c>
    </row>
    <row r="65" spans="1:17" ht="17.25" customHeight="1">
      <c r="A65" s="122"/>
      <c r="B65" s="122"/>
      <c r="C65" s="18" t="s">
        <v>45</v>
      </c>
      <c r="D65" s="108">
        <v>12968.75999999998</v>
      </c>
      <c r="E65" s="1">
        <v>965.4</v>
      </c>
      <c r="F65" s="116">
        <f>160+250</f>
        <v>410</v>
      </c>
      <c r="G65" s="118">
        <f>60+250</f>
        <v>310</v>
      </c>
      <c r="H65" s="38">
        <v>33081.310000000245</v>
      </c>
      <c r="I65" s="38">
        <v>17801.95999999987</v>
      </c>
      <c r="J65" s="1">
        <f t="shared" si="8"/>
        <v>20112.550000000265</v>
      </c>
      <c r="K65" s="1">
        <f t="shared" si="2"/>
        <v>32671.310000000245</v>
      </c>
      <c r="L65" s="1">
        <f t="shared" si="9"/>
        <v>32115.910000000244</v>
      </c>
      <c r="M65" s="1">
        <f t="shared" si="10"/>
        <v>17491.95999999987</v>
      </c>
      <c r="N65" s="29">
        <f t="shared" si="11"/>
        <v>2.5508460330825997</v>
      </c>
      <c r="O65" s="29">
        <f t="shared" si="12"/>
        <v>57.42567741935442</v>
      </c>
      <c r="P65" s="29">
        <f t="shared" si="6"/>
        <v>80.68612195122012</v>
      </c>
      <c r="Q65" s="29">
        <f t="shared" si="13"/>
        <v>34.26694634348482</v>
      </c>
    </row>
    <row r="66" spans="1:17" ht="18" customHeight="1">
      <c r="A66" s="122"/>
      <c r="B66" s="122"/>
      <c r="C66" s="18" t="s">
        <v>47</v>
      </c>
      <c r="D66" s="108">
        <v>20806.68000000003</v>
      </c>
      <c r="E66" s="1">
        <v>113685.69999999997</v>
      </c>
      <c r="F66" s="116">
        <f>18899.9+1460</f>
        <v>20359.9</v>
      </c>
      <c r="G66" s="118">
        <f>7990.2+1460</f>
        <v>9450.2</v>
      </c>
      <c r="H66" s="38">
        <v>34541.87000000004</v>
      </c>
      <c r="I66" s="38">
        <v>19527.329999999998</v>
      </c>
      <c r="J66" s="1">
        <f t="shared" si="8"/>
        <v>13735.19000000001</v>
      </c>
      <c r="K66" s="1">
        <f t="shared" si="2"/>
        <v>14181.970000000038</v>
      </c>
      <c r="L66" s="1">
        <f t="shared" si="9"/>
        <v>-79143.82999999993</v>
      </c>
      <c r="M66" s="1">
        <f t="shared" si="10"/>
        <v>10077.129999999997</v>
      </c>
      <c r="N66" s="13">
        <f t="shared" si="11"/>
        <v>1.6601336686102728</v>
      </c>
      <c r="O66" s="13">
        <f t="shared" si="12"/>
        <v>2.0663403949122765</v>
      </c>
      <c r="P66" s="13">
        <f t="shared" si="6"/>
        <v>1.6965638338105804</v>
      </c>
      <c r="Q66" s="13">
        <f t="shared" si="13"/>
        <v>0.3038365423267838</v>
      </c>
    </row>
    <row r="67" spans="1:17" ht="18" customHeight="1">
      <c r="A67" s="122"/>
      <c r="B67" s="122"/>
      <c r="C67" s="18" t="s">
        <v>56</v>
      </c>
      <c r="D67" s="108">
        <v>-5656.67</v>
      </c>
      <c r="E67" s="1">
        <v>0</v>
      </c>
      <c r="F67" s="97"/>
      <c r="G67" s="1">
        <v>0</v>
      </c>
      <c r="H67" s="38">
        <v>-114.61</v>
      </c>
      <c r="I67" s="38">
        <v>-114.12000000000002</v>
      </c>
      <c r="J67" s="1">
        <f t="shared" si="8"/>
        <v>5542.06</v>
      </c>
      <c r="K67" s="1">
        <f t="shared" si="2"/>
        <v>-114.61</v>
      </c>
      <c r="L67" s="1">
        <f t="shared" si="9"/>
        <v>-114.61</v>
      </c>
      <c r="M67" s="1">
        <f t="shared" si="10"/>
        <v>-114.12000000000002</v>
      </c>
      <c r="N67" s="13">
        <f t="shared" si="11"/>
        <v>0.020261036970514453</v>
      </c>
      <c r="O67" s="13">
        <f t="shared" si="12"/>
      </c>
      <c r="P67" s="13">
        <f t="shared" si="6"/>
      </c>
      <c r="Q67" s="13">
        <f t="shared" si="13"/>
      </c>
    </row>
    <row r="68" spans="1:17" s="10" customFormat="1" ht="18" customHeight="1">
      <c r="A68" s="165"/>
      <c r="B68" s="165"/>
      <c r="C68" s="103" t="s">
        <v>37</v>
      </c>
      <c r="D68" s="19">
        <f>966.05+53.17</f>
        <v>1019.2199999999999</v>
      </c>
      <c r="E68" s="1">
        <v>0</v>
      </c>
      <c r="F68" s="97"/>
      <c r="G68" s="1">
        <v>0</v>
      </c>
      <c r="H68" s="28">
        <v>248.45</v>
      </c>
      <c r="I68" s="28">
        <v>51.2</v>
      </c>
      <c r="J68" s="1">
        <f t="shared" si="8"/>
        <v>-770.77</v>
      </c>
      <c r="K68" s="1">
        <f t="shared" si="2"/>
        <v>248.45</v>
      </c>
      <c r="L68" s="1">
        <f t="shared" si="9"/>
        <v>248.45</v>
      </c>
      <c r="M68" s="1">
        <f t="shared" si="10"/>
        <v>51.2</v>
      </c>
      <c r="N68" s="13">
        <f t="shared" si="11"/>
        <v>0.2437648397794392</v>
      </c>
      <c r="O68" s="13">
        <f t="shared" si="12"/>
      </c>
      <c r="P68" s="13">
        <f t="shared" si="6"/>
      </c>
      <c r="Q68" s="13">
        <f t="shared" si="13"/>
      </c>
    </row>
    <row r="69" spans="1:17" ht="17.25" customHeight="1">
      <c r="A69" s="166"/>
      <c r="B69" s="166"/>
      <c r="C69" s="18" t="s">
        <v>87</v>
      </c>
      <c r="D69" s="108">
        <v>373.58</v>
      </c>
      <c r="E69" s="1">
        <v>0</v>
      </c>
      <c r="F69" s="97"/>
      <c r="G69" s="1">
        <v>0</v>
      </c>
      <c r="H69" s="38">
        <v>83.35</v>
      </c>
      <c r="I69" s="38">
        <v>83.35</v>
      </c>
      <c r="J69" s="1">
        <f t="shared" si="8"/>
        <v>-290.23</v>
      </c>
      <c r="K69" s="1">
        <f t="shared" si="2"/>
        <v>83.35</v>
      </c>
      <c r="L69" s="1">
        <f aca="true" t="shared" si="14" ref="L69:L82">H69-E69</f>
        <v>83.35</v>
      </c>
      <c r="M69" s="1">
        <f aca="true" t="shared" si="15" ref="M69:M82">I69-G69</f>
        <v>83.35</v>
      </c>
      <c r="N69" s="13">
        <f aca="true" t="shared" si="16" ref="N69:N82">_xlfn.IFERROR(H69/D69,"")</f>
        <v>0.22311151560576048</v>
      </c>
      <c r="O69" s="13">
        <f aca="true" t="shared" si="17" ref="O69:O81">_xlfn.IFERROR(I69/G69,"")</f>
      </c>
      <c r="P69" s="13">
        <f t="shared" si="6"/>
      </c>
      <c r="Q69" s="13">
        <f t="shared" si="13"/>
      </c>
    </row>
    <row r="70" spans="1:17" ht="15.75">
      <c r="A70" s="122"/>
      <c r="B70" s="122"/>
      <c r="C70" s="77" t="s">
        <v>57</v>
      </c>
      <c r="D70" s="67">
        <f>SUM(D62:D69)</f>
        <v>29581.180000000015</v>
      </c>
      <c r="E70" s="67">
        <f>SUM(E62:E69)</f>
        <v>114954.99999999997</v>
      </c>
      <c r="F70" s="67">
        <f>SUM(F62:F69)</f>
        <v>20882.9</v>
      </c>
      <c r="G70" s="67">
        <f>SUM(G62:G69)</f>
        <v>9781.400000000001</v>
      </c>
      <c r="H70" s="67">
        <f>SUM(H62:H69)</f>
        <v>68450.23000000029</v>
      </c>
      <c r="I70" s="67">
        <f>SUM(I62:I69)</f>
        <v>37466.479999999865</v>
      </c>
      <c r="J70" s="70">
        <f t="shared" si="8"/>
        <v>38869.05000000027</v>
      </c>
      <c r="K70" s="70">
        <f aca="true" t="shared" si="18" ref="K70:K82">H70-F70</f>
        <v>47567.330000000286</v>
      </c>
      <c r="L70" s="70">
        <f t="shared" si="14"/>
        <v>-46504.769999999684</v>
      </c>
      <c r="M70" s="70">
        <f t="shared" si="15"/>
        <v>27685.079999999864</v>
      </c>
      <c r="N70" s="71">
        <f t="shared" si="16"/>
        <v>2.3139790231491864</v>
      </c>
      <c r="O70" s="71">
        <f t="shared" si="17"/>
        <v>3.8303801091868097</v>
      </c>
      <c r="P70" s="71">
        <f aca="true" t="shared" si="19" ref="P70:P82">_xlfn.IFERROR(H70/F70,"")</f>
        <v>3.2778124685747803</v>
      </c>
      <c r="Q70" s="21">
        <f t="shared" si="13"/>
        <v>0.5954523944152086</v>
      </c>
    </row>
    <row r="71" spans="1:17" s="16" customFormat="1" ht="23.25" customHeight="1">
      <c r="A71" s="167" t="s">
        <v>58</v>
      </c>
      <c r="B71" s="167"/>
      <c r="C71" s="167"/>
      <c r="D71" s="25">
        <f>D5+D21</f>
        <v>4286669.8</v>
      </c>
      <c r="E71" s="25">
        <f>E5+E21</f>
        <v>30174912.299999997</v>
      </c>
      <c r="F71" s="25">
        <f>F5+F21</f>
        <v>5672943</v>
      </c>
      <c r="G71" s="25">
        <f>G5+G21</f>
        <v>1957982.1999999997</v>
      </c>
      <c r="H71" s="25">
        <f>H5+H21</f>
        <v>5833087.970000001</v>
      </c>
      <c r="I71" s="25">
        <f>I5+I21</f>
        <v>1829361.1099999999</v>
      </c>
      <c r="J71" s="26">
        <f t="shared" si="8"/>
        <v>1546418.1700000009</v>
      </c>
      <c r="K71" s="26">
        <f t="shared" si="18"/>
        <v>160144.97000000067</v>
      </c>
      <c r="L71" s="26">
        <f t="shared" si="14"/>
        <v>-24341824.33</v>
      </c>
      <c r="M71" s="26">
        <f t="shared" si="15"/>
        <v>-128621.08999999985</v>
      </c>
      <c r="N71" s="24">
        <f t="shared" si="16"/>
        <v>1.3607504758122497</v>
      </c>
      <c r="O71" s="24">
        <f t="shared" si="17"/>
        <v>0.9343093670616618</v>
      </c>
      <c r="P71" s="24">
        <f t="shared" si="19"/>
        <v>1.0282296102745965</v>
      </c>
      <c r="Q71" s="24">
        <f t="shared" si="13"/>
        <v>0.19330919380998504</v>
      </c>
    </row>
    <row r="72" spans="1:17" s="43" customFormat="1" ht="28.5" customHeight="1">
      <c r="A72" s="86"/>
      <c r="B72" s="87"/>
      <c r="C72" s="42" t="s">
        <v>59</v>
      </c>
      <c r="D72" s="40">
        <f>SUM(D73:D81)</f>
        <v>3830545.389999999</v>
      </c>
      <c r="E72" s="40">
        <f>SUM(E73:E81)</f>
        <v>23572334.62</v>
      </c>
      <c r="F72" s="40">
        <f>SUM(F73:F81)</f>
        <v>5489828.1899999995</v>
      </c>
      <c r="G72" s="40">
        <f>SUM(G73:G81)</f>
        <v>2934380.87</v>
      </c>
      <c r="H72" s="40">
        <f>SUM(H73:H81)</f>
        <v>5450948.399999999</v>
      </c>
      <c r="I72" s="40">
        <f>SUM(I73:I81)</f>
        <v>2968951.31</v>
      </c>
      <c r="J72" s="26">
        <f t="shared" si="8"/>
        <v>1620403.0100000002</v>
      </c>
      <c r="K72" s="26">
        <f t="shared" si="18"/>
        <v>-38879.79000000004</v>
      </c>
      <c r="L72" s="26">
        <f t="shared" si="14"/>
        <v>-18121386.220000003</v>
      </c>
      <c r="M72" s="26">
        <f t="shared" si="15"/>
        <v>34570.439999999944</v>
      </c>
      <c r="N72" s="24">
        <f t="shared" si="16"/>
        <v>1.423021487809599</v>
      </c>
      <c r="O72" s="24">
        <f t="shared" si="17"/>
        <v>1.011781170042865</v>
      </c>
      <c r="P72" s="24">
        <f t="shared" si="19"/>
        <v>0.9929178494017679</v>
      </c>
      <c r="Q72" s="24">
        <f t="shared" si="13"/>
        <v>0.23124346772912047</v>
      </c>
    </row>
    <row r="73" spans="1:17" ht="19.5" customHeight="1">
      <c r="A73" s="170"/>
      <c r="B73" s="168"/>
      <c r="C73" s="5" t="s">
        <v>60</v>
      </c>
      <c r="D73" s="19">
        <v>288577.9</v>
      </c>
      <c r="E73" s="1">
        <v>284166.8</v>
      </c>
      <c r="F73" s="97">
        <v>151433.2</v>
      </c>
      <c r="G73" s="1">
        <v>43088.1</v>
      </c>
      <c r="H73" s="28">
        <v>151433.2</v>
      </c>
      <c r="I73" s="2">
        <v>0</v>
      </c>
      <c r="J73" s="28">
        <f t="shared" si="8"/>
        <v>-137144.7</v>
      </c>
      <c r="K73" s="28">
        <f t="shared" si="18"/>
        <v>0</v>
      </c>
      <c r="L73" s="28">
        <f>H73-E73</f>
        <v>-132733.59999999998</v>
      </c>
      <c r="M73" s="28">
        <f>I73-G73</f>
        <v>-43088.1</v>
      </c>
      <c r="N73" s="23">
        <f t="shared" si="16"/>
        <v>0.5247567467917675</v>
      </c>
      <c r="O73" s="23">
        <f t="shared" si="17"/>
        <v>0</v>
      </c>
      <c r="P73" s="23">
        <f t="shared" si="19"/>
        <v>1</v>
      </c>
      <c r="Q73" s="23">
        <f t="shared" si="13"/>
        <v>0.5329025065560087</v>
      </c>
    </row>
    <row r="74" spans="1:17" ht="18" customHeight="1">
      <c r="A74" s="128"/>
      <c r="B74" s="131"/>
      <c r="C74" s="5" t="s">
        <v>61</v>
      </c>
      <c r="D74" s="19">
        <v>306736.27</v>
      </c>
      <c r="E74" s="1">
        <v>6602977.8500000015</v>
      </c>
      <c r="F74" s="97">
        <v>1350401.39</v>
      </c>
      <c r="G74" s="19">
        <v>1283820.42</v>
      </c>
      <c r="H74" s="28">
        <v>1350401.39</v>
      </c>
      <c r="I74" s="28">
        <v>1283820.42</v>
      </c>
      <c r="J74" s="28">
        <f t="shared" si="8"/>
        <v>1043665.1199999999</v>
      </c>
      <c r="K74" s="28">
        <f t="shared" si="18"/>
        <v>0</v>
      </c>
      <c r="L74" s="28">
        <f t="shared" si="14"/>
        <v>-5252576.460000002</v>
      </c>
      <c r="M74" s="28">
        <f t="shared" si="15"/>
        <v>0</v>
      </c>
      <c r="N74" s="23">
        <f t="shared" si="16"/>
        <v>4.402483573266376</v>
      </c>
      <c r="O74" s="23">
        <f t="shared" si="17"/>
        <v>1</v>
      </c>
      <c r="P74" s="23">
        <f t="shared" si="19"/>
        <v>1</v>
      </c>
      <c r="Q74" s="23">
        <f t="shared" si="13"/>
        <v>0.20451399666591333</v>
      </c>
    </row>
    <row r="75" spans="1:17" ht="18" customHeight="1">
      <c r="A75" s="128"/>
      <c r="B75" s="131"/>
      <c r="C75" s="5" t="s">
        <v>62</v>
      </c>
      <c r="D75" s="19">
        <v>2126978.3799999994</v>
      </c>
      <c r="E75" s="1">
        <v>13564930.3</v>
      </c>
      <c r="F75" s="97">
        <v>2807177.84</v>
      </c>
      <c r="G75" s="19">
        <v>1106606.44</v>
      </c>
      <c r="H75" s="28">
        <v>2807177.84</v>
      </c>
      <c r="I75" s="28">
        <v>1106606.44</v>
      </c>
      <c r="J75" s="28">
        <f t="shared" si="8"/>
        <v>680199.4600000004</v>
      </c>
      <c r="K75" s="28">
        <f t="shared" si="18"/>
        <v>0</v>
      </c>
      <c r="L75" s="28">
        <f t="shared" si="14"/>
        <v>-10757752.46</v>
      </c>
      <c r="M75" s="28">
        <f t="shared" si="15"/>
        <v>0</v>
      </c>
      <c r="N75" s="23">
        <f t="shared" si="16"/>
        <v>1.319796132577521</v>
      </c>
      <c r="O75" s="23">
        <f t="shared" si="17"/>
        <v>1</v>
      </c>
      <c r="P75" s="23">
        <f t="shared" si="19"/>
        <v>1</v>
      </c>
      <c r="Q75" s="23">
        <f t="shared" si="13"/>
        <v>0.2069437717641645</v>
      </c>
    </row>
    <row r="76" spans="1:17" ht="18" customHeight="1">
      <c r="A76" s="128"/>
      <c r="B76" s="131"/>
      <c r="C76" s="76" t="s">
        <v>63</v>
      </c>
      <c r="D76" s="19">
        <v>1221327.78</v>
      </c>
      <c r="E76" s="1">
        <v>3049522.76</v>
      </c>
      <c r="F76" s="97">
        <v>1110078.85</v>
      </c>
      <c r="G76" s="1">
        <v>430129</v>
      </c>
      <c r="H76" s="28">
        <v>1110078.85</v>
      </c>
      <c r="I76" s="28">
        <v>430129</v>
      </c>
      <c r="J76" s="28">
        <f t="shared" si="8"/>
        <v>-111248.92999999993</v>
      </c>
      <c r="K76" s="28">
        <f t="shared" si="18"/>
        <v>0</v>
      </c>
      <c r="L76" s="28">
        <f t="shared" si="14"/>
        <v>-1939443.9099999997</v>
      </c>
      <c r="M76" s="28">
        <f t="shared" si="15"/>
        <v>0</v>
      </c>
      <c r="N76" s="23">
        <f t="shared" si="16"/>
        <v>0.9089114881182839</v>
      </c>
      <c r="O76" s="23">
        <f t="shared" si="17"/>
        <v>1</v>
      </c>
      <c r="P76" s="23">
        <f t="shared" si="19"/>
        <v>1</v>
      </c>
      <c r="Q76" s="23">
        <f t="shared" si="13"/>
        <v>0.3640172372414103</v>
      </c>
    </row>
    <row r="77" spans="1:17" s="10" customFormat="1" ht="31.5">
      <c r="A77" s="128"/>
      <c r="B77" s="131"/>
      <c r="C77" s="102" t="s">
        <v>79</v>
      </c>
      <c r="D77" s="19">
        <v>387.89</v>
      </c>
      <c r="E77" s="1"/>
      <c r="F77" s="97"/>
      <c r="G77" s="1"/>
      <c r="H77" s="28">
        <v>45.15</v>
      </c>
      <c r="I77" s="28">
        <v>0</v>
      </c>
      <c r="J77" s="28">
        <f t="shared" si="8"/>
        <v>-342.74</v>
      </c>
      <c r="K77" s="28">
        <f t="shared" si="18"/>
        <v>45.15</v>
      </c>
      <c r="L77" s="28">
        <f t="shared" si="14"/>
        <v>45.15</v>
      </c>
      <c r="M77" s="28">
        <f>I77-G77</f>
        <v>0</v>
      </c>
      <c r="N77" s="23">
        <f t="shared" si="16"/>
        <v>0.11639897909201062</v>
      </c>
      <c r="O77" s="23">
        <f t="shared" si="17"/>
      </c>
      <c r="P77" s="23">
        <f t="shared" si="19"/>
      </c>
      <c r="Q77" s="23">
        <f t="shared" si="13"/>
      </c>
    </row>
    <row r="78" spans="1:17" s="10" customFormat="1" ht="21" customHeight="1">
      <c r="A78" s="128"/>
      <c r="B78" s="131"/>
      <c r="C78" s="104" t="s">
        <v>64</v>
      </c>
      <c r="D78" s="19"/>
      <c r="E78" s="1">
        <v>58676.62</v>
      </c>
      <c r="F78" s="116">
        <v>58676.62</v>
      </c>
      <c r="G78" s="118">
        <v>58676.62</v>
      </c>
      <c r="H78" s="28">
        <v>58676.62</v>
      </c>
      <c r="I78" s="28">
        <v>0</v>
      </c>
      <c r="J78" s="28">
        <f t="shared" si="8"/>
        <v>58676.62</v>
      </c>
      <c r="K78" s="28">
        <f t="shared" si="18"/>
        <v>0</v>
      </c>
      <c r="L78" s="28">
        <f t="shared" si="14"/>
        <v>0</v>
      </c>
      <c r="M78" s="28">
        <f t="shared" si="15"/>
        <v>-58676.62</v>
      </c>
      <c r="N78" s="23">
        <f t="shared" si="16"/>
      </c>
      <c r="O78" s="23">
        <f t="shared" si="17"/>
        <v>0</v>
      </c>
      <c r="P78" s="23">
        <f t="shared" si="19"/>
        <v>1</v>
      </c>
      <c r="Q78" s="23">
        <f t="shared" si="13"/>
        <v>1</v>
      </c>
    </row>
    <row r="79" spans="1:17" s="107" customFormat="1" ht="47.25" customHeight="1">
      <c r="A79" s="171"/>
      <c r="B79" s="169"/>
      <c r="C79" s="104" t="s">
        <v>81</v>
      </c>
      <c r="D79" s="110"/>
      <c r="E79" s="105"/>
      <c r="F79" s="116"/>
      <c r="G79" s="120"/>
      <c r="H79" s="28">
        <v>0</v>
      </c>
      <c r="I79" s="28">
        <v>0</v>
      </c>
      <c r="J79" s="28">
        <f t="shared" si="8"/>
        <v>0</v>
      </c>
      <c r="K79" s="28">
        <f t="shared" si="18"/>
        <v>0</v>
      </c>
      <c r="L79" s="28">
        <f t="shared" si="14"/>
        <v>0</v>
      </c>
      <c r="M79" s="28">
        <f t="shared" si="15"/>
        <v>0</v>
      </c>
      <c r="N79" s="23">
        <f t="shared" si="16"/>
      </c>
      <c r="O79" s="23">
        <f>_xlfn.IFERROR(I79/G80,"")</f>
        <v>0</v>
      </c>
      <c r="P79" s="23">
        <f t="shared" si="19"/>
      </c>
      <c r="Q79" s="106">
        <f t="shared" si="13"/>
      </c>
    </row>
    <row r="80" spans="1:17" s="10" customFormat="1" ht="34.5" customHeight="1">
      <c r="A80" s="128"/>
      <c r="B80" s="131"/>
      <c r="C80" s="103" t="s">
        <v>65</v>
      </c>
      <c r="D80" s="19">
        <v>159752.75000000003</v>
      </c>
      <c r="E80" s="1">
        <v>12060.29</v>
      </c>
      <c r="F80" s="116">
        <v>12060.29</v>
      </c>
      <c r="G80" s="121">
        <v>12060.29</v>
      </c>
      <c r="H80" s="28">
        <v>97090.63</v>
      </c>
      <c r="I80" s="28">
        <v>-60013.75</v>
      </c>
      <c r="J80" s="28">
        <f t="shared" si="8"/>
        <v>-62662.120000000024</v>
      </c>
      <c r="K80" s="28">
        <f t="shared" si="18"/>
        <v>85030.34</v>
      </c>
      <c r="L80" s="28">
        <f t="shared" si="14"/>
        <v>85030.34</v>
      </c>
      <c r="M80" s="28">
        <f t="shared" si="15"/>
        <v>-72074.04000000001</v>
      </c>
      <c r="N80" s="23">
        <f t="shared" si="16"/>
        <v>0.6077556098408321</v>
      </c>
      <c r="O80" s="23">
        <f>_xlfn.IFERROR(I80/#REF!,"")</f>
      </c>
      <c r="P80" s="23">
        <f t="shared" si="19"/>
        <v>8.050439085627294</v>
      </c>
      <c r="Q80" s="23">
        <f t="shared" si="13"/>
        <v>8.050439085627294</v>
      </c>
    </row>
    <row r="81" spans="1:17" s="10" customFormat="1" ht="18" customHeight="1">
      <c r="A81" s="150"/>
      <c r="B81" s="148"/>
      <c r="C81" s="103" t="s">
        <v>66</v>
      </c>
      <c r="D81" s="19">
        <v>-273215.58</v>
      </c>
      <c r="E81" s="1"/>
      <c r="F81" s="97"/>
      <c r="G81" s="1"/>
      <c r="H81" s="28">
        <v>-123955.27999999998</v>
      </c>
      <c r="I81" s="28">
        <v>208409.19999999998</v>
      </c>
      <c r="J81" s="28">
        <f t="shared" si="8"/>
        <v>149260.30000000005</v>
      </c>
      <c r="K81" s="28">
        <f t="shared" si="18"/>
        <v>-123955.27999999998</v>
      </c>
      <c r="L81" s="28">
        <f t="shared" si="14"/>
        <v>-123955.27999999998</v>
      </c>
      <c r="M81" s="28">
        <f t="shared" si="15"/>
        <v>208409.19999999998</v>
      </c>
      <c r="N81" s="23">
        <f t="shared" si="16"/>
        <v>0.4536903788576039</v>
      </c>
      <c r="O81" s="23">
        <f t="shared" si="17"/>
      </c>
      <c r="P81" s="23">
        <f t="shared" si="19"/>
      </c>
      <c r="Q81" s="23">
        <f t="shared" si="13"/>
      </c>
    </row>
    <row r="82" spans="1:17" s="43" customFormat="1" ht="29.25" customHeight="1">
      <c r="A82" s="164" t="s">
        <v>67</v>
      </c>
      <c r="B82" s="164"/>
      <c r="C82" s="164"/>
      <c r="D82" s="41">
        <f>D71+D72</f>
        <v>8117215.1899999995</v>
      </c>
      <c r="E82" s="41">
        <f>E71+E72</f>
        <v>53747246.92</v>
      </c>
      <c r="F82" s="41">
        <f>F71+F72</f>
        <v>11162771.19</v>
      </c>
      <c r="G82" s="41">
        <f>G71+G72</f>
        <v>4892363.07</v>
      </c>
      <c r="H82" s="41">
        <f>H71+H72</f>
        <v>11284036.370000001</v>
      </c>
      <c r="I82" s="41">
        <f>I71+I72</f>
        <v>4798312.42</v>
      </c>
      <c r="J82" s="26">
        <f t="shared" si="8"/>
        <v>3166821.1800000016</v>
      </c>
      <c r="K82" s="26">
        <f t="shared" si="18"/>
        <v>121265.18000000156</v>
      </c>
      <c r="L82" s="26">
        <f t="shared" si="14"/>
        <v>-42463210.55</v>
      </c>
      <c r="M82" s="26">
        <f t="shared" si="15"/>
        <v>-94050.65000000037</v>
      </c>
      <c r="N82" s="24">
        <f t="shared" si="16"/>
        <v>1.3901364083462227</v>
      </c>
      <c r="O82" s="24">
        <f>_xlfn.IFERROR(I82/G82,"")</f>
        <v>0.9807760281372575</v>
      </c>
      <c r="P82" s="24">
        <f t="shared" si="19"/>
        <v>1.010863358026064</v>
      </c>
      <c r="Q82" s="24">
        <f t="shared" si="13"/>
        <v>0.20994631384181792</v>
      </c>
    </row>
    <row r="83" spans="1:17" ht="15.75">
      <c r="A83" s="6" t="s">
        <v>68</v>
      </c>
      <c r="B83" s="7"/>
      <c r="C83" s="8"/>
      <c r="D83" s="9"/>
      <c r="E83" s="9"/>
      <c r="F83" s="9"/>
      <c r="G83" s="9"/>
      <c r="H83" s="52"/>
      <c r="I83" s="52"/>
      <c r="J83" s="35"/>
      <c r="K83" s="35"/>
      <c r="L83" s="9"/>
      <c r="M83" s="9"/>
      <c r="N83" s="9"/>
      <c r="O83" s="10"/>
      <c r="P83" s="10"/>
      <c r="Q83" s="10"/>
    </row>
    <row r="85" spans="4:11" ht="12.75">
      <c r="D85" s="37"/>
      <c r="H85" s="17"/>
      <c r="I85" s="17"/>
      <c r="J85" s="37"/>
      <c r="K85" s="37"/>
    </row>
    <row r="86" spans="8:11" ht="12.75">
      <c r="H86" s="17"/>
      <c r="I86" s="17"/>
      <c r="J86" s="37"/>
      <c r="K86" s="37"/>
    </row>
    <row r="87" spans="8:11" ht="12.75">
      <c r="H87" s="17"/>
      <c r="I87" s="17"/>
      <c r="J87" s="37"/>
      <c r="K87" s="37"/>
    </row>
    <row r="88" spans="5:11" ht="12.75">
      <c r="E88" s="17"/>
      <c r="H88" s="17"/>
      <c r="I88" s="17"/>
      <c r="J88" s="37"/>
      <c r="K88" s="37"/>
    </row>
    <row r="89" spans="5:11" ht="12.75">
      <c r="E89" s="17"/>
      <c r="H89" s="17"/>
      <c r="I89" s="17"/>
      <c r="J89" s="37"/>
      <c r="K89" s="37"/>
    </row>
    <row r="90" ht="12.75">
      <c r="E90" s="17"/>
    </row>
    <row r="91" ht="12.75">
      <c r="E91" s="17"/>
    </row>
    <row r="92" ht="12.75">
      <c r="E92" s="17"/>
    </row>
  </sheetData>
  <sheetProtection/>
  <autoFilter ref="A4:Q86"/>
  <mergeCells count="36">
    <mergeCell ref="A82:C82"/>
    <mergeCell ref="A62:A70"/>
    <mergeCell ref="B62:B70"/>
    <mergeCell ref="A71:C71"/>
    <mergeCell ref="B73:B81"/>
    <mergeCell ref="A73:A81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2024-03-29T11:40:23Z</cp:lastPrinted>
  <dcterms:created xsi:type="dcterms:W3CDTF">2015-02-26T11:08:47Z</dcterms:created>
  <dcterms:modified xsi:type="dcterms:W3CDTF">2024-04-04T09:06:03Z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